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F:\Consortium\Committees\Executive Committee\2021\Agendas\Agenda Backup\July 2021\"/>
    </mc:Choice>
  </mc:AlternateContent>
  <xr:revisionPtr revIDLastSave="0" documentId="8_{F0B7FCFD-0282-4F0D-AAC6-5B99148D43E1}" xr6:coauthVersionLast="46" xr6:coauthVersionMax="46" xr10:uidLastSave="{00000000-0000-0000-0000-000000000000}"/>
  <bookViews>
    <workbookView xWindow="-120" yWindow="-120" windowWidth="29040" windowHeight="15840" activeTab="2" xr2:uid="{00000000-000D-0000-FFFF-FFFF00000000}"/>
  </bookViews>
  <sheets>
    <sheet name="Budget Philosophy" sheetId="35" r:id="rId1"/>
    <sheet name="Budget Code Key" sheetId="34" r:id="rId2"/>
    <sheet name="2022 Budget" sheetId="12" r:id="rId3"/>
    <sheet name="Condensed Budget View" sheetId="33" r:id="rId4"/>
    <sheet name="Excellus Admin Fees" sheetId="13" r:id="rId5"/>
    <sheet name="Rx Rebate History" sheetId="23" r:id="rId6"/>
    <sheet name="ACA PCORI Fee" sheetId="32"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37" i="12" l="1"/>
  <c r="S37" i="12" s="1"/>
  <c r="T37" i="12" s="1"/>
  <c r="U37" i="12" s="1"/>
  <c r="R38" i="12"/>
  <c r="S38" i="12" s="1"/>
  <c r="T38" i="12" s="1"/>
  <c r="U38" i="12" s="1"/>
  <c r="Q21" i="12"/>
  <c r="P67" i="12"/>
  <c r="O67" i="12"/>
  <c r="R54" i="12"/>
  <c r="S54" i="12" s="1"/>
  <c r="T54" i="12" s="1"/>
  <c r="U54" i="12" s="1"/>
  <c r="Q23" i="12" l="1"/>
  <c r="R23" i="12" s="1"/>
  <c r="S23" i="12" s="1"/>
  <c r="T23" i="12" s="1"/>
  <c r="U23" i="12" s="1"/>
  <c r="R48" i="12"/>
  <c r="S48" i="12" s="1"/>
  <c r="T48" i="12" s="1"/>
  <c r="U48" i="12" s="1"/>
  <c r="Q47" i="12"/>
  <c r="R47" i="12" s="1"/>
  <c r="S47" i="12" s="1"/>
  <c r="T47" i="12" s="1"/>
  <c r="U47" i="12" s="1"/>
  <c r="Q41" i="12"/>
  <c r="Q36" i="12"/>
  <c r="Q34" i="12"/>
  <c r="Q30" i="12"/>
  <c r="Q27" i="12"/>
  <c r="Q26" i="12"/>
  <c r="Q24" i="12"/>
  <c r="R24" i="12" s="1"/>
  <c r="S24" i="12" s="1"/>
  <c r="T24" i="12" s="1"/>
  <c r="U24" i="12" s="1"/>
  <c r="Q22" i="12"/>
  <c r="Q19" i="12"/>
  <c r="Q20" i="12" s="1"/>
  <c r="N62" i="33"/>
  <c r="I81" i="33"/>
  <c r="K81" i="33"/>
  <c r="T59" i="12"/>
  <c r="U59" i="12"/>
  <c r="S59" i="12"/>
  <c r="Q9" i="12"/>
  <c r="R9" i="12" s="1"/>
  <c r="H12" i="33" s="1"/>
  <c r="Q100" i="12"/>
  <c r="H81" i="33" s="1"/>
  <c r="R100" i="12"/>
  <c r="S100" i="12"/>
  <c r="J81" i="33" s="1"/>
  <c r="T100" i="12"/>
  <c r="U100" i="12"/>
  <c r="H14" i="33"/>
  <c r="I14" i="33"/>
  <c r="J14" i="33"/>
  <c r="K14" i="33"/>
  <c r="Q64" i="12"/>
  <c r="R64" i="12" s="1"/>
  <c r="N77" i="12"/>
  <c r="O77" i="12" s="1"/>
  <c r="P77" i="12" s="1"/>
  <c r="Q77" i="12" s="1"/>
  <c r="R77" i="12" s="1"/>
  <c r="R59" i="12"/>
  <c r="R56" i="12"/>
  <c r="S56" i="12" s="1"/>
  <c r="T56" i="12" s="1"/>
  <c r="U56" i="12" s="1"/>
  <c r="R52" i="12"/>
  <c r="S52" i="12" s="1"/>
  <c r="T52" i="12" s="1"/>
  <c r="U52" i="12" s="1"/>
  <c r="R49" i="12"/>
  <c r="R39" i="12"/>
  <c r="S39" i="12" s="1"/>
  <c r="T39" i="12" s="1"/>
  <c r="U39" i="12" s="1"/>
  <c r="R32" i="12"/>
  <c r="S32" i="12" s="1"/>
  <c r="T32" i="12" s="1"/>
  <c r="U32" i="12" s="1"/>
  <c r="U28" i="12"/>
  <c r="T28" i="12"/>
  <c r="S28" i="12"/>
  <c r="R28" i="12"/>
  <c r="R25" i="12"/>
  <c r="S25" i="12" s="1"/>
  <c r="T25" i="12" s="1"/>
  <c r="U25" i="12" s="1"/>
  <c r="N20" i="12"/>
  <c r="N67" i="12" s="1"/>
  <c r="R10" i="12"/>
  <c r="S10" i="12" s="1"/>
  <c r="T10" i="12" s="1"/>
  <c r="U10" i="12" s="1"/>
  <c r="R13" i="12"/>
  <c r="S13" i="12" s="1"/>
  <c r="T13" i="12" s="1"/>
  <c r="U13" i="12" s="1"/>
  <c r="K15" i="33" s="1"/>
  <c r="R14" i="12"/>
  <c r="S14" i="12" s="1"/>
  <c r="T14" i="12" s="1"/>
  <c r="U14" i="12" s="1"/>
  <c r="K16" i="33" s="1"/>
  <c r="R15" i="12"/>
  <c r="S15" i="12" s="1"/>
  <c r="T15" i="12" s="1"/>
  <c r="U15" i="12" s="1"/>
  <c r="K17" i="33" s="1"/>
  <c r="R16" i="12"/>
  <c r="S16" i="12" s="1"/>
  <c r="T16" i="12" s="1"/>
  <c r="U16" i="12" s="1"/>
  <c r="H15" i="33" l="1"/>
  <c r="H17" i="33"/>
  <c r="S77" i="12"/>
  <c r="H38" i="33"/>
  <c r="H66" i="33" s="1"/>
  <c r="R75" i="12"/>
  <c r="H36" i="33" s="1"/>
  <c r="H64" i="33" s="1"/>
  <c r="J16" i="33"/>
  <c r="I16" i="33"/>
  <c r="H16" i="33"/>
  <c r="J17" i="33"/>
  <c r="J15" i="33"/>
  <c r="I17" i="33"/>
  <c r="I15" i="33"/>
  <c r="S64" i="12"/>
  <c r="S9" i="12"/>
  <c r="I38" i="33" l="1"/>
  <c r="T77" i="12"/>
  <c r="S75" i="12"/>
  <c r="I36" i="33" s="1"/>
  <c r="I12" i="33"/>
  <c r="T64" i="12"/>
  <c r="T9" i="12"/>
  <c r="I64" i="33" l="1"/>
  <c r="U77" i="12"/>
  <c r="J38" i="33"/>
  <c r="T75" i="12"/>
  <c r="J36" i="33" s="1"/>
  <c r="J12" i="33"/>
  <c r="I66" i="33"/>
  <c r="U64" i="12"/>
  <c r="U9" i="12"/>
  <c r="J66" i="33" l="1"/>
  <c r="K38" i="33"/>
  <c r="J64" i="33"/>
  <c r="U75" i="12"/>
  <c r="K36" i="33" s="1"/>
  <c r="K12" i="33"/>
  <c r="K64" i="33" l="1"/>
  <c r="K66" i="33"/>
  <c r="Q45" i="12" l="1"/>
  <c r="R45" i="12" s="1"/>
  <c r="S45" i="12" s="1"/>
  <c r="T45" i="12" s="1"/>
  <c r="U45" i="12" s="1"/>
  <c r="Q43" i="12"/>
  <c r="R43" i="12" s="1"/>
  <c r="S43" i="12" s="1"/>
  <c r="T43" i="12" s="1"/>
  <c r="U43" i="12" s="1"/>
  <c r="R41" i="12"/>
  <c r="S41" i="12" l="1"/>
  <c r="Q28" i="12"/>
  <c r="M100" i="12"/>
  <c r="D81" i="33" s="1"/>
  <c r="O100" i="12"/>
  <c r="F81" i="33" s="1"/>
  <c r="P100" i="12"/>
  <c r="G81" i="33" s="1"/>
  <c r="Q57" i="12"/>
  <c r="R57" i="12" s="1"/>
  <c r="R34" i="12"/>
  <c r="S34" i="12" s="1"/>
  <c r="T34" i="12" s="1"/>
  <c r="U34" i="12" s="1"/>
  <c r="S57" i="12" l="1"/>
  <c r="T41" i="12"/>
  <c r="G14" i="33"/>
  <c r="Q75" i="12"/>
  <c r="E61" i="33"/>
  <c r="F61" i="33"/>
  <c r="G61" i="33"/>
  <c r="H61" i="33"/>
  <c r="I61" i="33"/>
  <c r="J61" i="33"/>
  <c r="K61" i="33"/>
  <c r="D61" i="33"/>
  <c r="G12" i="33"/>
  <c r="G15" i="33"/>
  <c r="G16" i="33"/>
  <c r="G17" i="33"/>
  <c r="F27" i="33"/>
  <c r="F26" i="33"/>
  <c r="F25" i="33"/>
  <c r="F24" i="33"/>
  <c r="F23" i="33"/>
  <c r="F22" i="33"/>
  <c r="F21" i="33"/>
  <c r="E21" i="33"/>
  <c r="E22" i="33"/>
  <c r="E23" i="33"/>
  <c r="E24" i="33"/>
  <c r="E25" i="33"/>
  <c r="E26" i="33"/>
  <c r="E27" i="33"/>
  <c r="E12" i="33"/>
  <c r="E13" i="33"/>
  <c r="E14" i="33"/>
  <c r="E15" i="33"/>
  <c r="E16" i="33"/>
  <c r="E17" i="33"/>
  <c r="D26" i="33"/>
  <c r="D25" i="33"/>
  <c r="D24" i="33"/>
  <c r="D23" i="33"/>
  <c r="D22" i="33"/>
  <c r="D21" i="33"/>
  <c r="F13" i="33"/>
  <c r="F14" i="33"/>
  <c r="F15" i="33"/>
  <c r="F16" i="33"/>
  <c r="F17" i="33"/>
  <c r="F12" i="33"/>
  <c r="D13" i="33"/>
  <c r="D14" i="33"/>
  <c r="D15" i="33"/>
  <c r="D16" i="33"/>
  <c r="D17" i="33"/>
  <c r="D12" i="33"/>
  <c r="G38" i="33"/>
  <c r="Q59" i="12"/>
  <c r="Q58" i="12"/>
  <c r="Q55" i="12"/>
  <c r="R55" i="12" s="1"/>
  <c r="S55" i="12" s="1"/>
  <c r="T55" i="12" s="1"/>
  <c r="U55" i="12" s="1"/>
  <c r="Q53" i="12"/>
  <c r="R53" i="12" s="1"/>
  <c r="S53" i="12" s="1"/>
  <c r="T53" i="12" s="1"/>
  <c r="U53" i="12" s="1"/>
  <c r="Q46" i="12"/>
  <c r="R36" i="12"/>
  <c r="Q33" i="12"/>
  <c r="R33" i="12" s="1"/>
  <c r="S33" i="12" s="1"/>
  <c r="T33" i="12" s="1"/>
  <c r="U33" i="12" s="1"/>
  <c r="R31" i="12"/>
  <c r="R21" i="12"/>
  <c r="S21" i="12" s="1"/>
  <c r="T21" i="12" s="1"/>
  <c r="U21" i="12" s="1"/>
  <c r="R22" i="12"/>
  <c r="S22" i="12" s="1"/>
  <c r="T22" i="12" s="1"/>
  <c r="U22" i="12" s="1"/>
  <c r="L78" i="12"/>
  <c r="M78" i="12"/>
  <c r="N78" i="12"/>
  <c r="O78" i="12"/>
  <c r="P78" i="12"/>
  <c r="L64" i="12"/>
  <c r="L15" i="12"/>
  <c r="K6" i="12"/>
  <c r="M64" i="12"/>
  <c r="D27" i="33" s="1"/>
  <c r="K64" i="12"/>
  <c r="M17" i="12"/>
  <c r="S36" i="12" l="1"/>
  <c r="R26" i="12"/>
  <c r="S26" i="12" s="1"/>
  <c r="H22" i="33"/>
  <c r="T57" i="12"/>
  <c r="S31" i="12"/>
  <c r="H25" i="33"/>
  <c r="G66" i="33"/>
  <c r="C7" i="35" s="1"/>
  <c r="G24" i="33"/>
  <c r="R30" i="12"/>
  <c r="R19" i="12"/>
  <c r="G21" i="33"/>
  <c r="Q42" i="12"/>
  <c r="Q67" i="12" s="1"/>
  <c r="R46" i="12"/>
  <c r="G23" i="33"/>
  <c r="R27" i="12"/>
  <c r="G27" i="33"/>
  <c r="R58" i="12"/>
  <c r="U41" i="12"/>
  <c r="M67" i="12"/>
  <c r="M69" i="12" s="1"/>
  <c r="G25" i="33"/>
  <c r="G22" i="33"/>
  <c r="Q74" i="12"/>
  <c r="G35" i="33" s="1"/>
  <c r="Q76" i="12"/>
  <c r="G37" i="33" s="1"/>
  <c r="G36" i="33"/>
  <c r="G64" i="33" s="1"/>
  <c r="C6" i="35" s="1"/>
  <c r="T36" i="12" l="1"/>
  <c r="G65" i="33"/>
  <c r="C8" i="35" s="1"/>
  <c r="G63" i="33"/>
  <c r="C5" i="35" s="1"/>
  <c r="T31" i="12"/>
  <c r="I25" i="33"/>
  <c r="S27" i="12"/>
  <c r="H23" i="33"/>
  <c r="U57" i="12"/>
  <c r="R74" i="12"/>
  <c r="R76" i="12"/>
  <c r="H37" i="33" s="1"/>
  <c r="S58" i="12"/>
  <c r="H27" i="33"/>
  <c r="S30" i="12"/>
  <c r="H24" i="33"/>
  <c r="T26" i="12"/>
  <c r="I22" i="33"/>
  <c r="S46" i="12"/>
  <c r="R42" i="12"/>
  <c r="S19" i="12"/>
  <c r="R20" i="12"/>
  <c r="H21" i="33" s="1"/>
  <c r="G26" i="33"/>
  <c r="Q78" i="12"/>
  <c r="E14" i="23"/>
  <c r="E15" i="23"/>
  <c r="E16" i="23"/>
  <c r="O17" i="12"/>
  <c r="O69" i="12" s="1"/>
  <c r="P17" i="12"/>
  <c r="P69" i="12" s="1"/>
  <c r="H26" i="33" l="1"/>
  <c r="R67" i="12"/>
  <c r="U36" i="12"/>
  <c r="U26" i="12"/>
  <c r="K22" i="33" s="1"/>
  <c r="J22" i="33"/>
  <c r="S76" i="12"/>
  <c r="I37" i="33" s="1"/>
  <c r="S74" i="12"/>
  <c r="T58" i="12"/>
  <c r="I27" i="33"/>
  <c r="T27" i="12"/>
  <c r="I23" i="33"/>
  <c r="H35" i="33"/>
  <c r="H63" i="33" s="1"/>
  <c r="R78" i="12"/>
  <c r="T30" i="12"/>
  <c r="I24" i="33"/>
  <c r="H65" i="33"/>
  <c r="U31" i="12"/>
  <c r="J25" i="33"/>
  <c r="T19" i="12"/>
  <c r="S20" i="12"/>
  <c r="I21" i="33" s="1"/>
  <c r="T46" i="12"/>
  <c r="S42" i="12"/>
  <c r="H12" i="32"/>
  <c r="H11" i="32"/>
  <c r="B20" i="13"/>
  <c r="N61" i="33"/>
  <c r="I26" i="33" l="1"/>
  <c r="S67" i="12"/>
  <c r="K25" i="33"/>
  <c r="S78" i="12"/>
  <c r="I35" i="33"/>
  <c r="I63" i="33" s="1"/>
  <c r="U30" i="12"/>
  <c r="K24" i="33" s="1"/>
  <c r="J24" i="33"/>
  <c r="I65" i="33"/>
  <c r="U58" i="12"/>
  <c r="K27" i="33" s="1"/>
  <c r="J27" i="33"/>
  <c r="T76" i="12"/>
  <c r="J37" i="33" s="1"/>
  <c r="T74" i="12"/>
  <c r="U27" i="12"/>
  <c r="K23" i="33" s="1"/>
  <c r="J23" i="33"/>
  <c r="U19" i="12"/>
  <c r="T20" i="12"/>
  <c r="J21" i="33" s="1"/>
  <c r="U46" i="12"/>
  <c r="U42" i="12" s="1"/>
  <c r="K26" i="33" s="1"/>
  <c r="T42" i="12"/>
  <c r="E38" i="33"/>
  <c r="D38" i="33"/>
  <c r="D66" i="33" s="1"/>
  <c r="J26" i="33" l="1"/>
  <c r="T67" i="12"/>
  <c r="J35" i="33"/>
  <c r="J63" i="33" s="1"/>
  <c r="T78" i="12"/>
  <c r="U20" i="12"/>
  <c r="U67" i="12" s="1"/>
  <c r="U76" i="12"/>
  <c r="K37" i="33" s="1"/>
  <c r="U74" i="12"/>
  <c r="J65" i="33"/>
  <c r="E66" i="33"/>
  <c r="F38" i="33"/>
  <c r="F66" i="33" s="1"/>
  <c r="K21" i="33" l="1"/>
  <c r="K65" i="33"/>
  <c r="K35" i="33"/>
  <c r="U78" i="12"/>
  <c r="F28" i="33"/>
  <c r="E28" i="33"/>
  <c r="E18" i="33"/>
  <c r="D18" i="33"/>
  <c r="E37" i="33"/>
  <c r="K63" i="33" l="1"/>
  <c r="E77" i="33"/>
  <c r="E72" i="33"/>
  <c r="E76" i="33"/>
  <c r="E74" i="33"/>
  <c r="E78" i="33"/>
  <c r="E75" i="33"/>
  <c r="E73" i="33"/>
  <c r="F74" i="33"/>
  <c r="F78" i="33"/>
  <c r="F75" i="33"/>
  <c r="F77" i="33"/>
  <c r="F72" i="33"/>
  <c r="F76" i="33"/>
  <c r="F73" i="33"/>
  <c r="E65" i="33"/>
  <c r="F37" i="33"/>
  <c r="F65" i="33" s="1"/>
  <c r="G39" i="33"/>
  <c r="E30" i="33"/>
  <c r="F18" i="33"/>
  <c r="F30" i="33" s="1"/>
  <c r="E79" i="33" l="1"/>
  <c r="F79" i="33"/>
  <c r="G28" i="33"/>
  <c r="G78" i="33" l="1"/>
  <c r="G77" i="33"/>
  <c r="G73" i="33"/>
  <c r="G76" i="33"/>
  <c r="G75" i="33"/>
  <c r="G74" i="33"/>
  <c r="G72" i="33"/>
  <c r="H28" i="33"/>
  <c r="G79" i="33" l="1"/>
  <c r="H75" i="33"/>
  <c r="H74" i="33"/>
  <c r="H78" i="33"/>
  <c r="H76" i="33"/>
  <c r="H73" i="33"/>
  <c r="H77" i="33"/>
  <c r="H72" i="33"/>
  <c r="H39" i="33"/>
  <c r="I28" i="33"/>
  <c r="H79" i="33" l="1"/>
  <c r="I76" i="33"/>
  <c r="I75" i="33"/>
  <c r="I74" i="33"/>
  <c r="I78" i="33"/>
  <c r="I73" i="33"/>
  <c r="I77" i="33"/>
  <c r="I72" i="33"/>
  <c r="I39" i="33"/>
  <c r="J28" i="33"/>
  <c r="K28" i="33"/>
  <c r="J76" i="33" l="1"/>
  <c r="J73" i="33"/>
  <c r="J75" i="33"/>
  <c r="J74" i="33"/>
  <c r="J78" i="33"/>
  <c r="J77" i="33"/>
  <c r="J72" i="33"/>
  <c r="I79" i="33"/>
  <c r="K73" i="33"/>
  <c r="K77" i="33"/>
  <c r="K76" i="33"/>
  <c r="K74" i="33"/>
  <c r="K78" i="33"/>
  <c r="K75" i="33"/>
  <c r="K72" i="33"/>
  <c r="J39" i="33"/>
  <c r="K79" i="33" l="1"/>
  <c r="J79" i="33"/>
  <c r="K39" i="33"/>
  <c r="C6" i="32" l="1"/>
  <c r="C7" i="32" s="1"/>
  <c r="C8" i="32" s="1"/>
  <c r="C9" i="32" s="1"/>
  <c r="C10" i="32" s="1"/>
  <c r="C11" i="32" s="1"/>
  <c r="C12" i="32" s="1"/>
  <c r="C13" i="32" s="1"/>
  <c r="C14" i="32" s="1"/>
  <c r="C15" i="32" s="1"/>
  <c r="C16" i="32" s="1"/>
  <c r="C17" i="32" s="1"/>
  <c r="C18" i="32" s="1"/>
  <c r="C19" i="32" s="1"/>
  <c r="C20" i="32" s="1"/>
  <c r="C21" i="32" s="1"/>
  <c r="I10" i="32"/>
  <c r="I9" i="32"/>
  <c r="I8" i="32"/>
  <c r="I7" i="32"/>
  <c r="I5" i="32"/>
  <c r="I6" i="32"/>
  <c r="G11" i="32"/>
  <c r="G10" i="32"/>
  <c r="G9" i="32"/>
  <c r="G8" i="32"/>
  <c r="G7" i="32"/>
  <c r="G6" i="32"/>
  <c r="I13" i="32" l="1"/>
  <c r="G12" i="32"/>
  <c r="F14" i="32" l="1"/>
  <c r="I14" i="32" s="1"/>
  <c r="G13" i="32"/>
  <c r="G14" i="32" l="1"/>
  <c r="F15" i="32"/>
  <c r="I15" i="32" s="1"/>
  <c r="G15" i="32" l="1"/>
  <c r="F16" i="32"/>
  <c r="I16" i="32" s="1"/>
  <c r="G16" i="32" l="1"/>
  <c r="F17" i="32"/>
  <c r="I17" i="32" s="1"/>
  <c r="G17" i="32"/>
  <c r="F18" i="32" l="1"/>
  <c r="I18" i="32" s="1"/>
  <c r="G18" i="32"/>
  <c r="F19" i="32"/>
  <c r="I19" i="32" s="1"/>
  <c r="F20" i="32" l="1"/>
  <c r="I20" i="32" s="1"/>
  <c r="G19" i="32"/>
  <c r="F21" i="32" l="1"/>
  <c r="I21" i="32" s="1"/>
  <c r="G20" i="32"/>
  <c r="G21" i="32" l="1"/>
  <c r="K15" i="13" l="1"/>
  <c r="K14" i="13"/>
  <c r="K13" i="13"/>
  <c r="I15" i="13"/>
  <c r="I14" i="13"/>
  <c r="I13" i="13"/>
  <c r="G15" i="13"/>
  <c r="G14" i="13"/>
  <c r="G13" i="13"/>
  <c r="E16" i="13" l="1"/>
  <c r="E15" i="13"/>
  <c r="B21" i="13" l="1"/>
  <c r="K17" i="12" l="1"/>
  <c r="J17" i="12"/>
  <c r="I17" i="12"/>
  <c r="H17" i="12"/>
  <c r="G17" i="12"/>
  <c r="F17" i="12"/>
  <c r="E17" i="12"/>
  <c r="D17" i="12"/>
  <c r="E13" i="23" l="1"/>
  <c r="N100" i="12"/>
  <c r="E81" i="33" s="1"/>
  <c r="L100" i="12"/>
  <c r="D37" i="33" l="1"/>
  <c r="D65" i="33" s="1"/>
  <c r="D35" i="33"/>
  <c r="D63" i="33" s="1"/>
  <c r="L47" i="12"/>
  <c r="D28" i="33" s="1"/>
  <c r="D74" i="33" l="1"/>
  <c r="D78" i="33"/>
  <c r="D75" i="33"/>
  <c r="D77" i="33"/>
  <c r="D76" i="33"/>
  <c r="D72" i="33"/>
  <c r="D73" i="33"/>
  <c r="D30" i="33"/>
  <c r="L17" i="12"/>
  <c r="D79" i="33" l="1"/>
  <c r="L67" i="12"/>
  <c r="E35" i="33"/>
  <c r="D17" i="23"/>
  <c r="E12" i="23"/>
  <c r="E11" i="23"/>
  <c r="E10" i="23"/>
  <c r="E9" i="23"/>
  <c r="E8" i="23"/>
  <c r="E7" i="23"/>
  <c r="E6" i="23"/>
  <c r="E5" i="23"/>
  <c r="C17" i="23"/>
  <c r="J100" i="12"/>
  <c r="K100" i="12"/>
  <c r="J74" i="12"/>
  <c r="J78" i="12" s="1"/>
  <c r="E14" i="13"/>
  <c r="E13" i="13"/>
  <c r="E12" i="13"/>
  <c r="E100" i="12"/>
  <c r="D100" i="12" s="1"/>
  <c r="I100" i="12"/>
  <c r="H100" i="12"/>
  <c r="G100" i="12"/>
  <c r="F100" i="12"/>
  <c r="C20" i="13"/>
  <c r="E11" i="13"/>
  <c r="E10" i="13"/>
  <c r="E9" i="13"/>
  <c r="E8" i="13"/>
  <c r="E7" i="13"/>
  <c r="E6" i="13"/>
  <c r="H76" i="12"/>
  <c r="D78" i="12"/>
  <c r="F75" i="12"/>
  <c r="E75" i="12"/>
  <c r="F74" i="12"/>
  <c r="G75" i="12"/>
  <c r="G74" i="12"/>
  <c r="G77" i="12"/>
  <c r="H74" i="12"/>
  <c r="H75" i="12"/>
  <c r="I74" i="12"/>
  <c r="I76" i="12"/>
  <c r="K67" i="12"/>
  <c r="I75" i="12"/>
  <c r="K75" i="12"/>
  <c r="F35" i="33" l="1"/>
  <c r="E63" i="33"/>
  <c r="D36" i="33"/>
  <c r="G67" i="12"/>
  <c r="G69" i="12" s="1"/>
  <c r="E20" i="13"/>
  <c r="E21" i="13"/>
  <c r="E17" i="23"/>
  <c r="D67" i="12"/>
  <c r="F67" i="12"/>
  <c r="F69" i="12" s="1"/>
  <c r="L69" i="12"/>
  <c r="H67" i="12"/>
  <c r="H69" i="12" s="1"/>
  <c r="E67" i="12"/>
  <c r="E74" i="12" s="1"/>
  <c r="E78" i="12" s="1"/>
  <c r="I67" i="12"/>
  <c r="I69" i="12" s="1"/>
  <c r="J67" i="12"/>
  <c r="J69" i="12" s="1"/>
  <c r="G78" i="12"/>
  <c r="F78" i="12"/>
  <c r="K78" i="12"/>
  <c r="I78" i="12"/>
  <c r="H78" i="12"/>
  <c r="K69" i="12"/>
  <c r="F63" i="33" l="1"/>
  <c r="D39" i="33"/>
  <c r="D64" i="33"/>
  <c r="E36" i="33"/>
  <c r="F36" i="33" s="1"/>
  <c r="F64" i="33" s="1"/>
  <c r="E69" i="12"/>
  <c r="F39" i="33" l="1"/>
  <c r="E39" i="33"/>
  <c r="E64" i="33"/>
  <c r="N17" i="12" l="1"/>
  <c r="N69" i="12" s="1"/>
  <c r="D69" i="12" l="1"/>
  <c r="D71" i="12" s="1"/>
  <c r="E6" i="12" l="1"/>
  <c r="E71" i="12" s="1"/>
  <c r="D80" i="12"/>
  <c r="D81" i="12" s="1"/>
  <c r="E80" i="12" l="1"/>
  <c r="E81" i="12" s="1"/>
  <c r="F6" i="12"/>
  <c r="F71" i="12" s="1"/>
  <c r="G6" i="12" l="1"/>
  <c r="G71" i="12" s="1"/>
  <c r="F80" i="12"/>
  <c r="F81" i="12" s="1"/>
  <c r="H6" i="12" l="1"/>
  <c r="H71" i="12" s="1"/>
  <c r="G80" i="12"/>
  <c r="G81" i="12" s="1"/>
  <c r="I6" i="12" l="1"/>
  <c r="I71" i="12" s="1"/>
  <c r="H80" i="12"/>
  <c r="H81" i="12" s="1"/>
  <c r="J6" i="12" l="1"/>
  <c r="J71" i="12" s="1"/>
  <c r="I80" i="12"/>
  <c r="I81" i="12" s="1"/>
  <c r="J80" i="12" l="1"/>
  <c r="J81" i="12" s="1"/>
  <c r="K71" i="12" l="1"/>
  <c r="K80" i="12" l="1"/>
  <c r="K81" i="12" s="1"/>
  <c r="L6" i="12"/>
  <c r="L71" i="12" s="1"/>
  <c r="M6" i="12" l="1"/>
  <c r="L80" i="12"/>
  <c r="L81" i="12" s="1"/>
  <c r="M71" i="12" l="1"/>
  <c r="N6" i="12" s="1"/>
  <c r="D9" i="33"/>
  <c r="D32" i="33" s="1"/>
  <c r="M80" i="12" l="1"/>
  <c r="M81" i="12" s="1"/>
  <c r="N71" i="12"/>
  <c r="Q6" i="12" s="1"/>
  <c r="Q11" i="12" s="1"/>
  <c r="E9" i="33"/>
  <c r="E32" i="33" s="1"/>
  <c r="D68" i="33"/>
  <c r="D41" i="33"/>
  <c r="O6" i="12"/>
  <c r="O71" i="12" s="1"/>
  <c r="O80" i="12" s="1"/>
  <c r="O81" i="12" s="1"/>
  <c r="Q17" i="12" l="1"/>
  <c r="G13" i="33"/>
  <c r="G18" i="33" s="1"/>
  <c r="N80" i="12"/>
  <c r="N81" i="12" s="1"/>
  <c r="D42" i="33"/>
  <c r="D67" i="33"/>
  <c r="E68" i="33"/>
  <c r="E41" i="33"/>
  <c r="G9" i="33"/>
  <c r="P6" i="12"/>
  <c r="G30" i="33" l="1"/>
  <c r="G32" i="33" s="1"/>
  <c r="G68" i="33" s="1"/>
  <c r="C4" i="35"/>
  <c r="Q69" i="12"/>
  <c r="Q71" i="12" s="1"/>
  <c r="R6" i="12" s="1"/>
  <c r="R11" i="12" s="1"/>
  <c r="H13" i="33" s="1"/>
  <c r="H18" i="33" s="1"/>
  <c r="H30" i="33" s="1"/>
  <c r="P71" i="12"/>
  <c r="P80" i="12" s="1"/>
  <c r="P81" i="12" s="1"/>
  <c r="F9" i="33"/>
  <c r="F32" i="33" s="1"/>
  <c r="E67" i="33"/>
  <c r="E42" i="33"/>
  <c r="Q80" i="12" l="1"/>
  <c r="Q81" i="12" s="1"/>
  <c r="H9" i="33"/>
  <c r="H32" i="33" s="1"/>
  <c r="H68" i="33" s="1"/>
  <c r="G41" i="33"/>
  <c r="G67" i="33" s="1"/>
  <c r="C9" i="35" s="1"/>
  <c r="R17" i="12"/>
  <c r="R69" i="12" s="1"/>
  <c r="R71" i="12" s="1"/>
  <c r="R80" i="12" s="1"/>
  <c r="R81" i="12" s="1"/>
  <c r="F68" i="33"/>
  <c r="F41" i="33"/>
  <c r="G42" i="33" l="1"/>
  <c r="I9" i="33"/>
  <c r="H41" i="33"/>
  <c r="H67" i="33" s="1"/>
  <c r="S6" i="12"/>
  <c r="F42" i="33"/>
  <c r="F67" i="33"/>
  <c r="H42" i="33" l="1"/>
  <c r="S11" i="12"/>
  <c r="S17" i="12" l="1"/>
  <c r="S69" i="12" s="1"/>
  <c r="S71" i="12" s="1"/>
  <c r="T6" i="12" s="1"/>
  <c r="T11" i="12" s="1"/>
  <c r="I13" i="33"/>
  <c r="I18" i="33" s="1"/>
  <c r="I30" i="33" s="1"/>
  <c r="I32" i="33" s="1"/>
  <c r="S80" i="12" l="1"/>
  <c r="S81" i="12" s="1"/>
  <c r="I41" i="33"/>
  <c r="J9" i="33"/>
  <c r="I68" i="33"/>
  <c r="T17" i="12"/>
  <c r="T69" i="12" s="1"/>
  <c r="T71" i="12" s="1"/>
  <c r="T80" i="12" s="1"/>
  <c r="T81" i="12" s="1"/>
  <c r="J13" i="33"/>
  <c r="J18" i="33" s="1"/>
  <c r="J30" i="33" s="1"/>
  <c r="U6" i="12" l="1"/>
  <c r="U11" i="12" s="1"/>
  <c r="K13" i="33" s="1"/>
  <c r="K18" i="33" s="1"/>
  <c r="K30" i="33" s="1"/>
  <c r="J32" i="33"/>
  <c r="I67" i="33"/>
  <c r="I42" i="33"/>
  <c r="U17" i="12" l="1"/>
  <c r="U69" i="12" s="1"/>
  <c r="U71" i="12" s="1"/>
  <c r="U80" i="12" s="1"/>
  <c r="U81" i="12" s="1"/>
  <c r="J41" i="33"/>
  <c r="J68" i="33"/>
  <c r="K9" i="33"/>
  <c r="K32" i="33" s="1"/>
  <c r="K41" i="33" l="1"/>
  <c r="K68" i="33"/>
  <c r="J67" i="33"/>
  <c r="J42" i="33"/>
  <c r="K67" i="33" l="1"/>
  <c r="K42" i="33"/>
</calcChain>
</file>

<file path=xl/sharedStrings.xml><?xml version="1.0" encoding="utf-8"?>
<sst xmlns="http://schemas.openxmlformats.org/spreadsheetml/2006/main" count="489" uniqueCount="327">
  <si>
    <t>Greater Tompkins County Municipal Health Insurance Consortium</t>
  </si>
  <si>
    <t>Income</t>
  </si>
  <si>
    <t>Interest</t>
  </si>
  <si>
    <t>Other</t>
  </si>
  <si>
    <t>Expenses</t>
  </si>
  <si>
    <t>Legal Fees</t>
  </si>
  <si>
    <t>Net Income</t>
  </si>
  <si>
    <t>IBNR Reserve</t>
  </si>
  <si>
    <t>Beginning Balance</t>
  </si>
  <si>
    <t>Ending  Balance</t>
  </si>
  <si>
    <t>Unencumbered Fund Balance</t>
  </si>
  <si>
    <t>Total Income</t>
  </si>
  <si>
    <t>Total Expenses</t>
  </si>
  <si>
    <t>n/a</t>
  </si>
  <si>
    <t>Internal Coordination (Finance)</t>
  </si>
  <si>
    <t>Internal Coordination (Support)</t>
  </si>
  <si>
    <t>Capitalization Investment</t>
  </si>
  <si>
    <t>Capitalization Repayment</t>
  </si>
  <si>
    <t>Medical Paid Claims</t>
  </si>
  <si>
    <t>Rx Admin Fees</t>
  </si>
  <si>
    <t>Advance Deposit / Pre-Paid Claims</t>
  </si>
  <si>
    <t>Ancillary Benefit Premiums</t>
  </si>
  <si>
    <t>Liabilities and Reserves</t>
  </si>
  <si>
    <t>Total Liabilities and Reserves</t>
  </si>
  <si>
    <t>Rx Rebates</t>
  </si>
  <si>
    <t>Stop-Loss Claim Reimbursements</t>
  </si>
  <si>
    <t>Payment Refund</t>
  </si>
  <si>
    <t>Actual Results         2011 Fiscal Year</t>
  </si>
  <si>
    <t>Actual Results           2012 Fiscal Year</t>
  </si>
  <si>
    <t>ACA PCORI Fee</t>
  </si>
  <si>
    <t xml:space="preserve">Surplus Account </t>
  </si>
  <si>
    <t>Catastrophic Claims Reserve</t>
  </si>
  <si>
    <t>Actual Results                   2013 Fiscal Year</t>
  </si>
  <si>
    <t>Actuarial Fees</t>
  </si>
  <si>
    <t>Accounting Fees</t>
  </si>
  <si>
    <t>Claims / Rate Stabilization Reserve</t>
  </si>
  <si>
    <t>Fiscal Year</t>
  </si>
  <si>
    <t>Excellus BCBS Administrative Fee</t>
  </si>
  <si>
    <t>Average Increase</t>
  </si>
  <si>
    <t>ACA</t>
  </si>
  <si>
    <t>GTCMHIC Budget Income % Increase and Excellus Small Group PPO % Rate Increase</t>
  </si>
  <si>
    <t>Excellus BCBS Administrative Fee % Increase</t>
  </si>
  <si>
    <t>Medical Admin Fees</t>
  </si>
  <si>
    <t>Actual Results                   2014 Fiscal Year</t>
  </si>
  <si>
    <t>Flu Clinic Fees</t>
  </si>
  <si>
    <t>Excellus BCBS  Small Group Rates                                   % Increase *</t>
  </si>
  <si>
    <t>TBD</t>
  </si>
  <si>
    <t>Actual Results          2015 Fiscal Year</t>
  </si>
  <si>
    <t>Actual Results                  2016 Fiscal Year</t>
  </si>
  <si>
    <t>Projected Budget 2022 Fiscal Year</t>
  </si>
  <si>
    <t xml:space="preserve">* 2011-2013 Data Provided by NYS Dept. of Financial Services Reports for Excellus BCBS Small Group PPO Plans in the Syracuse New York Region.  After ACA Implementation (2015-2018), Data Provided by Excellus BCBS Marketing Department and is Based on Average Platinum Plan Rate for Excellus Corporate Wide. </t>
  </si>
  <si>
    <t>Average Covered Lives</t>
  </si>
  <si>
    <t>Rx Rebate Per Covered Life Per Year</t>
  </si>
  <si>
    <t>Actual Results                        2017 Fiscal Year</t>
  </si>
  <si>
    <t>Wellness Coordinator Fees</t>
  </si>
  <si>
    <t>Projected Budget 2023 Fiscal Year</t>
  </si>
  <si>
    <t>8.   Aggregate Stop-Loss Insurance Removed Based on NYS DFS Approval.</t>
  </si>
  <si>
    <t>Prescription Benefit Manager (PBM)</t>
  </si>
  <si>
    <t>Amount of Rx Rebate Received</t>
  </si>
  <si>
    <t>Average Covered Lives Count</t>
  </si>
  <si>
    <t>Express Scripts, Inc.</t>
  </si>
  <si>
    <t>ProAct, Inc</t>
  </si>
  <si>
    <t>Totals</t>
  </si>
  <si>
    <t xml:space="preserve">Budget Income                             % Increase                       </t>
  </si>
  <si>
    <t>5-Year Avg. Increase</t>
  </si>
  <si>
    <t>Consultant Fees (L&amp;C)</t>
  </si>
  <si>
    <t>Insurances (D&amp;O / Prof. Liability)</t>
  </si>
  <si>
    <t>Internal Coordination (Town of Ithaca)</t>
  </si>
  <si>
    <t>Internal Coordination (IT Support)</t>
  </si>
  <si>
    <t>Marketing Expenses</t>
  </si>
  <si>
    <t>Investment Management Services</t>
  </si>
  <si>
    <t>7.   Specific Stop-Loss Insurance trended by 15% each year.</t>
  </si>
  <si>
    <t>Projected Budget 2024 Fiscal Year</t>
  </si>
  <si>
    <t>Actual Results            2018 Fiscal Year</t>
  </si>
  <si>
    <t>Consultant Fees (Barber + Others)</t>
  </si>
  <si>
    <t>Consultant Fees (Retirement Plan Review)</t>
  </si>
  <si>
    <t>Ancillary Benefit Plan Premiums</t>
  </si>
  <si>
    <t>ACA Transitional Reins. Program Fee</t>
  </si>
  <si>
    <t>Taxes and Fees</t>
  </si>
  <si>
    <t>Professional Services</t>
  </si>
  <si>
    <t>Insurance/Internal Fees</t>
  </si>
  <si>
    <t>Medical and Rx Paid Claims</t>
  </si>
  <si>
    <t>Claims Administration Fees</t>
  </si>
  <si>
    <t>Stop-Loss Insurance</t>
  </si>
  <si>
    <t>Other/Miscellaneous Fees</t>
  </si>
  <si>
    <t>2,800-3,050 Contracts</t>
  </si>
  <si>
    <t>3,051-3,300 Contracts</t>
  </si>
  <si>
    <t>&gt;3,300 Contracts</t>
  </si>
  <si>
    <t>Pharmaceutical Manufacturer Rebate Income History (as of September 30, 2019)</t>
  </si>
  <si>
    <t>ACA PCORI Fee Analysis</t>
  </si>
  <si>
    <t>Policy                        End Date</t>
  </si>
  <si>
    <t>Average Annual Covered Lives</t>
  </si>
  <si>
    <t>% Increase</t>
  </si>
  <si>
    <t>Annual Fee</t>
  </si>
  <si>
    <t>n/s</t>
  </si>
  <si>
    <t>** Red Font = Estimated Values</t>
  </si>
  <si>
    <t>PCORI Rate                  (Per Life)</t>
  </si>
  <si>
    <t>Applicable                          Fiscal Year</t>
  </si>
  <si>
    <t>Filing                           Deadline</t>
  </si>
  <si>
    <t>Payment                          Fiscal Year</t>
  </si>
  <si>
    <t>ACA PCORI Fee                                                     Fiscal Year End Range</t>
  </si>
  <si>
    <t>10/01/2012 to 09/30/2013</t>
  </si>
  <si>
    <t>10/01/2013 to 09/30/2014</t>
  </si>
  <si>
    <t>10/01/2014 to 09/30/2015</t>
  </si>
  <si>
    <t>10/01/2015 to 09/30/2016</t>
  </si>
  <si>
    <t>10/01/2016 to 09/30/2017</t>
  </si>
  <si>
    <t>10/01/2017 to 09/30/2018</t>
  </si>
  <si>
    <t>10/01/2018 to 09/30/2019</t>
  </si>
  <si>
    <t>10/01/2019 to 09/30/2020</t>
  </si>
  <si>
    <t>10/01/2020 to 09/30/2021</t>
  </si>
  <si>
    <t>10/01/2021 to 09/30/2022</t>
  </si>
  <si>
    <t>10/01/2022 to 09/30/2023</t>
  </si>
  <si>
    <t>10/01/2023 to 09/30/2024</t>
  </si>
  <si>
    <t>10/01/2024 to 09/30/2025</t>
  </si>
  <si>
    <t>10/01/2025 to 09/30/2026</t>
  </si>
  <si>
    <t>10/01/2026 to 09/30/2027</t>
  </si>
  <si>
    <t>10/01/2027 to 09/30/2028</t>
  </si>
  <si>
    <t>10/01/2028 to 09/30/2029</t>
  </si>
  <si>
    <t>Medical and Rx Plan Premiums</t>
  </si>
  <si>
    <t>Finance Charge Income</t>
  </si>
  <si>
    <t>Rx Paid Claims - ProAct</t>
  </si>
  <si>
    <t>Rx Paid Claims - CanaRx</t>
  </si>
  <si>
    <t>Executive Director Salary</t>
  </si>
  <si>
    <t>Fringe Benefits</t>
  </si>
  <si>
    <t>Clerk of the Board Salary</t>
  </si>
  <si>
    <t>Admin/Comp Asst. Salary</t>
  </si>
  <si>
    <t>Internal Coordination Fees (Other)</t>
  </si>
  <si>
    <t>Lease Expense / Parking Fees</t>
  </si>
  <si>
    <t>Mileage- Travel Expenses</t>
  </si>
  <si>
    <t>Audit Fees (Financial)</t>
  </si>
  <si>
    <t>Audit Fees (Claims)</t>
  </si>
  <si>
    <t>Excellus ITS Fees</t>
  </si>
  <si>
    <r>
      <t xml:space="preserve">Actual Results </t>
    </r>
    <r>
      <rPr>
        <b/>
        <i/>
        <sz val="10"/>
        <color rgb="FFFF0000"/>
        <rFont val="Times New Roman"/>
        <family val="1"/>
      </rPr>
      <t xml:space="preserve">                </t>
    </r>
    <r>
      <rPr>
        <b/>
        <i/>
        <sz val="10"/>
        <rFont val="Times New Roman"/>
        <family val="1"/>
      </rPr>
      <t xml:space="preserve"> 2019 Fiscal Year</t>
    </r>
  </si>
  <si>
    <t>Statutory Reserves</t>
  </si>
  <si>
    <t>Discretionary Reserves</t>
  </si>
  <si>
    <t>Specific Stop-Loss Insurance (Actual)</t>
  </si>
  <si>
    <t>Projected Budget 2025 Fiscal Year</t>
  </si>
  <si>
    <t>6.   New York State Graduate Medical Expense Increased by 5% Per Annum</t>
  </si>
  <si>
    <t>9.  All Professional Services Fees Increased by 3% Per Fiscal Year</t>
  </si>
  <si>
    <t>Ending  Cash Assets Balance</t>
  </si>
  <si>
    <t>IBNR Claims Liability Per §4706(a)(1)</t>
  </si>
  <si>
    <r>
      <t xml:space="preserve">Surplus Account Per </t>
    </r>
    <r>
      <rPr>
        <sz val="10"/>
        <rFont val="Calibri"/>
        <family val="2"/>
      </rPr>
      <t>§</t>
    </r>
    <r>
      <rPr>
        <sz val="10"/>
        <rFont val="Times New Roman"/>
        <family val="1"/>
      </rPr>
      <t>4706(a)(5)</t>
    </r>
  </si>
  <si>
    <t>Rate Stabilization Reserve</t>
  </si>
  <si>
    <t>Budget Code</t>
  </si>
  <si>
    <t>Budget Code Key</t>
  </si>
  <si>
    <t>Interest Income</t>
  </si>
  <si>
    <t>Prescription Drug Plan Premium Revenue</t>
  </si>
  <si>
    <t>Tompkins Trust Company</t>
  </si>
  <si>
    <t>M&amp;T Bank</t>
  </si>
  <si>
    <t>Wilmington Trust Investment - Unrestricted</t>
  </si>
  <si>
    <t>Wilmington Trust Investment - IBNR</t>
  </si>
  <si>
    <t>Wilmington Trust Investment - Capital Surplus</t>
  </si>
  <si>
    <t>Wilmington Trust Investment - Catastrophic Claims</t>
  </si>
  <si>
    <t>Other Income</t>
  </si>
  <si>
    <t>First Niagara Bank</t>
  </si>
  <si>
    <t xml:space="preserve">Interest Income Earned on GTCMHIC Statutory Capital Surplus Fund [§4706 (a)(5))] via Various Investment Accounts at Wilmington Trust </t>
  </si>
  <si>
    <t xml:space="preserve">Interest Income Earned on GTCMHIC Discretionary Catastrophic Claims Reserve Fund [§4706 (a)(5))] via Various Investment Accounts at Wilmington Trust </t>
  </si>
  <si>
    <t xml:space="preserve">Interest Income Earned on GTCMHIC Unrestricted Fund Balance which Includes the GTCMHIC Discretionary Rate Stabilization Reserve Fund via Various Investment Accounts at Wilmington Trust </t>
  </si>
  <si>
    <t xml:space="preserve">Interest Income Earned on GTCMHIC Statutory IBNR Reserve Fund [§4706 (a)(1))] via Various Investment Accounts at Wilmington Trust </t>
  </si>
  <si>
    <t>Medical Plan Premium Revenue</t>
  </si>
  <si>
    <t>Pharmaceutical Manufacturer Rebate Payments Received by the Consortium from the Prescription Benefit Manager (PBM)</t>
  </si>
  <si>
    <t>Total Interest Income Earned on the Entire Investment Portfolio of GTCMHIC Net Cash Assets which Include the Consortium's Statutory Reserves, Discretionary Reserves, and Unrestricted Net Cash Assets</t>
  </si>
  <si>
    <t>Income Budget Item Name</t>
  </si>
  <si>
    <t xml:space="preserve">The Amount of Money Paid by Municipal Partners to Fund the Statutory Capital Surplus Fund [§4706 (a)(5))] </t>
  </si>
  <si>
    <t>Premiums Received from Participating Municipalities, Inclusive of Employee and Retiree Contributions, for the Various GTCMHIC Hospital, Medical, and Surgical Benefit Plans</t>
  </si>
  <si>
    <t>Premiums Received from Participating Municipalities, Inclusive of Employee and Retiree Contributions, for the Various GTCMHIC Prescription Drug Benefit Plans</t>
  </si>
  <si>
    <t>Interest Income Earned on GTCMHIC Unrestricted Fund Balance Amounts Invested in Various Bank Accounts at Tompkins Trust Company</t>
  </si>
  <si>
    <t>Interest Income Earned on GTCMHIC Unrestricted Fund Balance Amounts Invested in Various Bank Accounts at First Niagara Bank</t>
  </si>
  <si>
    <t>Interest Income Earned on GTCMHIC Unrestricted Fund Balance Amounts Invested in Various Bank Accounts at M&amp;T Bank</t>
  </si>
  <si>
    <t>Amounts Received for Claims Made Against the GTCMHIC's Aggregate and/or Specific Stop-Loss Insurance Policies</t>
  </si>
  <si>
    <t>Rx Rebate                         Per Covered Life                    Per Year</t>
  </si>
  <si>
    <t>Income Budget Item Description</t>
  </si>
  <si>
    <t>Any Miscellaneous Revenue Taken in by the GTCMHIC Where There is No Related Budget Code</t>
  </si>
  <si>
    <t>Expense Budget Item Name</t>
  </si>
  <si>
    <t>Expense Budget Item Description</t>
  </si>
  <si>
    <t>Expense Grouping</t>
  </si>
  <si>
    <t>Expense Grouping Name</t>
  </si>
  <si>
    <t>Federal and State Taxes/Fees</t>
  </si>
  <si>
    <t>Other/Miscellaneous Fee</t>
  </si>
  <si>
    <t>Pharmaceutical Claims Paid by the Prescription Benefit Manager (Currently ProAct, Inc.) for Pharmaceuticals Dispensed at a Retail or Mail-Order Pharmacy</t>
  </si>
  <si>
    <t>Expenses Incurred for the Direct Delivery of the Flu Vaccine at Consortium Sponsored Flu Clinics</t>
  </si>
  <si>
    <t>Administrative Fees Charged by the Medical Plan Claims Third-Party Administrator (Currently Excellus BlueCross BlueShield)</t>
  </si>
  <si>
    <t>Administrative Fees Charged by the Prescription Benefit Management (PBM) Company (Currently ProAct, Inc.)</t>
  </si>
  <si>
    <t>NYS Covered Lives Assessment (Graduate Medical Ed. Pool)</t>
  </si>
  <si>
    <t>NYS Covered Lives Assessment</t>
  </si>
  <si>
    <t>A Per Covered Life Fee (Tax ) Paid to the Federal Government to Fund the Patient-Centered Outcomes Research Institute</t>
  </si>
  <si>
    <t>Actuarial Fees Associated with the Consortium's Required Actuarial Attestations and the Fees Associated with GASB 75 Liability Analyzes Conducted for Participating Municipalities</t>
  </si>
  <si>
    <t>Certified Public Accounting Fees Associated with the Annual Financial Audit of the Consortium's Books and Records</t>
  </si>
  <si>
    <t>Certified Public Accounting Fees Associated with the Completion of the Consortium's Quarterly and Annual Financial Reports to the New York State Department of Financial Services</t>
  </si>
  <si>
    <t>Professional Services Fees Charged for the Audit of Medical and/or Pharmacy Claims</t>
  </si>
  <si>
    <t>Attorney Fees and Expenses Paid to the Consortium's Legal Counsel (Currently Hancock Estabrook, LLP)</t>
  </si>
  <si>
    <t>Professional Services Fees Paid to the Consortium's Employee Benefits Consultant (Currently Locey &amp; Cahill, LLC)</t>
  </si>
  <si>
    <t>Professional Services Fees Paid to Consortium's Executive Consultant (Currently Donald Barber)</t>
  </si>
  <si>
    <t>Hospital, Medical, and Surgical Claims Paid by the Third-Party Administrator (Currently Excellus BlueCross BlueShield)</t>
  </si>
  <si>
    <t>Money Paid to Medical Plan Claims Third-Party Administrator (Currently Excellus BlueCross BlueShield) to Cover Lag in Billing Process - Fund Equals 1-Week of Paid Claims</t>
  </si>
  <si>
    <t>Pharmaceutical Claims Paid by the International Prescription Benefit Manager (Currently CanaRx) for Pharmaceuticals Dispensed by the International Mail-Order Pharmacy</t>
  </si>
  <si>
    <t>BlueCross BlueShield Interplan Transfer Services (ITS) Fees for Adjudication of BlueCard Claims</t>
  </si>
  <si>
    <t>A Per Covered Life Contribution (Tax) Paid to the State of New York Graduate Medical Education Pool</t>
  </si>
  <si>
    <t>This Expense Line is for the Actual Specific Stop-Loss Insurance Premium for the Current $1 Million Deductible Policy</t>
  </si>
  <si>
    <t>Total Cash Assets</t>
  </si>
  <si>
    <t>Cash Assets as a % of Premium Revenue</t>
  </si>
  <si>
    <r>
      <t xml:space="preserve">Surplus Account Per </t>
    </r>
    <r>
      <rPr>
        <b/>
        <sz val="10"/>
        <rFont val="Calibri"/>
        <family val="2"/>
      </rPr>
      <t>§</t>
    </r>
    <r>
      <rPr>
        <b/>
        <sz val="10"/>
        <rFont val="Times New Roman"/>
        <family val="1"/>
      </rPr>
      <t>4706(a)(5)</t>
    </r>
  </si>
  <si>
    <t>The Costs for Office Supplies and Other Miscellaneous Items Needed for Itnernal Staff Members</t>
  </si>
  <si>
    <t>Expenses Related to Computer Equipment Utilized by Consortium Internal Staff Members</t>
  </si>
  <si>
    <t>Amounts Piaid for Consortium Leased Office Space and Employee Parking</t>
  </si>
  <si>
    <t>Reimbursements to Consortium Employees for Travel Expenses Related to Current and Potential Members of the Consortium and for Other Approved Travel Necessary to Operate the Consortium</t>
  </si>
  <si>
    <t>Budget Philosophy</t>
  </si>
  <si>
    <t xml:space="preserve">In accordance with New York State Insurance Law §4706(a)(1) maintain a statutory reserve referred to as an Incurred But Not Reported (IBNR) Claims Liability Reserve in an amount equal to 12% of expected incurred claims for the year. </t>
  </si>
  <si>
    <t>In accordance with Board Policy, Maintain a discretionary reserve referred to as a Rate Stabilization Reserve of no more than 7.5% of annual expected claim expenses to mitigate premium increases and to satisfy the Consortium's primary goal of providing predictable and/or stable premium increases on an annual basis.</t>
  </si>
  <si>
    <t xml:space="preserve">In accordance with the adopted GTCMHIC Resolution, maintain a reserve for large losses referred to as the Catastrophic Claims Reserve in the amount of $4.5 million which is to be used to pay for any person's claims which exceed $500,000 in a given year with a maximum use of funds up to the Specific Stop-Loss Deductible of $1 million. </t>
  </si>
  <si>
    <t xml:space="preserve">In accordance with New York State Insurance Law §4706(a)(5) maintain a statutory reserve referred to by the New York State Department of Financial Services as a Surplus Account which must equal 5% of expected premium revenue for the year. </t>
  </si>
  <si>
    <t xml:space="preserve">In accordance with Board Policy, the annual budget should include an unrestricted fund balance of between 8% and 18% which is equivalent to approximately 1 to 2 months of premium which shall be used for cash flow ensuring the financial operations of the Consortium will not be negatively impacted by an unforeseen financial issue caused by a delay in premium or an exacerbation in costs.  </t>
  </si>
  <si>
    <t xml:space="preserve">In accordance with GTCMHIC Board Policy ensure the budgeted Total Income (Premium, Prescription Drug Rebates, Interest Income, etc.) Less Total Expenses (Paid Claims, Administrative Fees, Professional Service Fees, Internal Fees, Etc.) Equals between 1.0% to 2.0% annually. </t>
  </si>
  <si>
    <t>2011 to 2021</t>
  </si>
  <si>
    <t>Premium Cost Associated with the Purchase of Errors &amp; Omissions Insurance and/or Professional Liability Insurance for the Consortium's Board of Directors and Employees</t>
  </si>
  <si>
    <t xml:space="preserve">Amouints Paid to a Participating Municipal Employer for Time and Materials Related to Personnel Assigned to the Consortium to Assist with the Consortium's Financial Operations.  </t>
  </si>
  <si>
    <t>Amouints Paid to a Participating Municipal Employer for Time and Materials Related to Personnel Assigned to the Consortium to Assist with Clerical Functions</t>
  </si>
  <si>
    <t>Amounts Paid to the Town of Ithaca for Time, Materials, and/or Rent for Space and Support Relatiive to Consortium Employees</t>
  </si>
  <si>
    <t>Amouints Paid to a Participating Municipal Employer for Time and Materials Related to Personnel Assigned to the Consortium to Assist with Informaiton Technologies Support</t>
  </si>
  <si>
    <t>The Direct Costs Associated with Marketing Materials and Related Marketing Initiatives</t>
  </si>
  <si>
    <t>Fees Paid to the Consortium's Investment Manager - Currently Wilmington Trust (a Subsidiary of M&amp;T Bank)</t>
  </si>
  <si>
    <t>Costs Related to Office Supplies and Any Other Expenses of the Consortium Not Defined by Another Cost Code</t>
  </si>
  <si>
    <t>Salary Associated with the Consortium's Executive Directors Whose Job Duties are Defined by the Consortium's Board of Directors</t>
  </si>
  <si>
    <t>Asset, Liability, and Reserve Budget Item Name</t>
  </si>
  <si>
    <t>Asset, Liability, and Reserve Budget Item Description</t>
  </si>
  <si>
    <t>Annual Total Revenue (Income) Less Annual Total Expenses</t>
  </si>
  <si>
    <t xml:space="preserve">Annual Net Income Added to the Fiscal Year's Beginning Net Cash Asset Position </t>
  </si>
  <si>
    <t>The Sum of GTCMHIC Expenses Paid During the Time Period (Fiscal Year)</t>
  </si>
  <si>
    <t>The Sum of GTCMHIC Revenues Received During the Time Period (Fiscal Year)</t>
  </si>
  <si>
    <t>Salary Associated with the Consortium's Clerk of the Board Whose Job Duties are Defined by the Consortium's Executive Director with Input from the Board of Directors</t>
  </si>
  <si>
    <t>Salary Associated with the Consortium's Administrative Support Employee Whose Job Duties are Defined by the Consortium's Executive Director with Input from the Board of Directors</t>
  </si>
  <si>
    <t>Cost Associated with Consortium Employees' Health Insurance and Other Fringe Benefit Costs</t>
  </si>
  <si>
    <t>Statutorially Required Incurred But Not Report (IBNR) Claims Liabilty Reserve Which is Set at 12% of Expected Incurred Claims Pursuant to §4706(a)(1)</t>
  </si>
  <si>
    <t>Statutorally Required Surplus Account Set at 5% of Earned Premium Pursuant to §4706(a)(5)</t>
  </si>
  <si>
    <t xml:space="preserve">Consortium Board Assiged Claims/Rate Stabilization Reserve Which is Set at 7.5% of Expected Medical and Rx Paid Claims for Each Fiscal Year to Provide Protection Against Unforseen Aggregate Paid Claims Increases Beyond What is Budgeted </t>
  </si>
  <si>
    <t>Consortium Board Assigned Catastrophic Claims Reserve Set at $4.5 Million for 2020 Per GTCMHIC Board of Directors Resolution Whichi Includes Funds Set Aside to Off-Set the Costs of Unpresidented Numbers of Indivudal Catastriphic Claims</t>
  </si>
  <si>
    <t>Sum of All Liability and Reserve Accounts</t>
  </si>
  <si>
    <t>Ending Balance Less the Total Liabilities and Reserves</t>
  </si>
  <si>
    <t>* PCORI Fee Estimates Use Current Average Covered Lives Count of 6,318</t>
  </si>
  <si>
    <t>Adopted Budget 2021 Fiscal Year</t>
  </si>
  <si>
    <t>Budget</t>
  </si>
  <si>
    <t>Forecast</t>
  </si>
  <si>
    <r>
      <t xml:space="preserve">Actual Results </t>
    </r>
    <r>
      <rPr>
        <b/>
        <i/>
        <sz val="10"/>
        <color rgb="FFFF0000"/>
        <rFont val="Times New Roman"/>
        <family val="1"/>
      </rPr>
      <t xml:space="preserve">                </t>
    </r>
    <r>
      <rPr>
        <b/>
        <i/>
        <sz val="10"/>
        <rFont val="Times New Roman"/>
        <family val="1"/>
      </rPr>
      <t xml:space="preserve"> 2020 Fiscal Year</t>
    </r>
  </si>
  <si>
    <t>Actual Results
2020 Fiscal Year</t>
  </si>
  <si>
    <t>Budget
2021 Fiscal Year</t>
  </si>
  <si>
    <t>Projected
 2021 Fiscal Year</t>
  </si>
  <si>
    <t>Benefits Specialist Salary</t>
  </si>
  <si>
    <t>Finance Director Salary</t>
  </si>
  <si>
    <t>Other Expenses</t>
  </si>
  <si>
    <t>Specific Stop-Loss Insurance</t>
  </si>
  <si>
    <t>Budget
2022 Fiscal Year</t>
  </si>
  <si>
    <t>additional audit for new PBM?</t>
  </si>
  <si>
    <t>$3000/qtr</t>
  </si>
  <si>
    <t>Computer Equipment (Software)</t>
  </si>
  <si>
    <t>Supplies Expense (Postage/Printing)</t>
  </si>
  <si>
    <t>Furniture &amp; Fixtures</t>
  </si>
  <si>
    <t>Training/Prof Dev</t>
  </si>
  <si>
    <t>12% of Claims</t>
  </si>
  <si>
    <t>5% of Premium</t>
  </si>
  <si>
    <t>7.5% of Claims</t>
  </si>
  <si>
    <t>Projected Budget 2026 Fiscal Year</t>
  </si>
  <si>
    <t>Projected 2021 Fiscal Year</t>
  </si>
  <si>
    <r>
      <rPr>
        <b/>
        <i/>
        <sz val="10"/>
        <color rgb="FFFF0000"/>
        <rFont val="Times New Roman"/>
        <family val="1"/>
      </rPr>
      <t>Amended</t>
    </r>
    <r>
      <rPr>
        <b/>
        <i/>
        <sz val="10"/>
        <rFont val="Times New Roman"/>
        <family val="1"/>
      </rPr>
      <t xml:space="preserve"> Budget       2021 Fiscal Year</t>
    </r>
  </si>
  <si>
    <t>Finance Manager Salary</t>
  </si>
  <si>
    <t>Claims</t>
  </si>
  <si>
    <t>Premiums</t>
  </si>
  <si>
    <t>Assumptions 2022 to 2026 Fiscal Years</t>
  </si>
  <si>
    <t>800/mo rent + 304.95/pass/qtr</t>
  </si>
  <si>
    <t>N/A</t>
  </si>
  <si>
    <t>Per PCORI Tab</t>
  </si>
  <si>
    <t>Salary Associated with the Consortium's Benefits Clerk - Job Duties to Include Customer Service and Support Relative to Health Insurance Benefit and Claim Issues</t>
  </si>
  <si>
    <t>Salary Associated with the Consortium's Finance Manager - Job Duties to Include all Financial Matters including preparation of JURAT and month end financial reports</t>
  </si>
  <si>
    <t>2020 - 2022 Fiscal Year Budget Projections</t>
  </si>
  <si>
    <t>as of 5/31/2021</t>
  </si>
  <si>
    <t>Projected Budget
2023 Fiscal Year</t>
  </si>
  <si>
    <t>Projected Budget
2024 Fiscal Year</t>
  </si>
  <si>
    <t>Projected Budget
2025 Fiscal Year</t>
  </si>
  <si>
    <t>Projected Budget
2026 Fiscal Year</t>
  </si>
  <si>
    <t>Per contract</t>
  </si>
  <si>
    <t>Software costs - moved down below</t>
  </si>
  <si>
    <t>Subscriptions</t>
  </si>
  <si>
    <t>Meeting Table/Walls@$200 ea</t>
  </si>
  <si>
    <t>Per TOI</t>
  </si>
  <si>
    <t>Per TOI with 3% parking increase per year</t>
  </si>
  <si>
    <t>1.  Premium Revenue Increased by 5.0% in 2021, 6.0% in 2022,7.0% in 2023,2024 &amp; 2025</t>
  </si>
  <si>
    <t>3.  Prescription Drug Rebates Estimated at $1,700,000 Per Year Based on Advice from ProAct, Inc.</t>
  </si>
  <si>
    <t>4.  Paid Claims Trend for Fiscal Years 2022 through 2026 are 5.0% for Medical Claims and 7.5% for Prescription Drug Claims</t>
  </si>
  <si>
    <t>5.  Administrative Fees Per Agreement with Excellus BCBS then Increased by 3.0% for the Fiscal Years of 2022 through 2026</t>
  </si>
  <si>
    <t>10. All Insurance Increased by 10% Per Annum</t>
  </si>
  <si>
    <t>11. All Internal Coordination Fees Increased by 3% Per Annum</t>
  </si>
  <si>
    <t>12. IBNR Reserve Set at 12% of Expected Incurred Claims Pursuant to §4706</t>
  </si>
  <si>
    <t>13. Surplus Account Set at 5% of Earned Premium Pursuant to §4706</t>
  </si>
  <si>
    <t>14. Claims/Rate Stabilization Reserve Set at 7.5% of Expected Medical and Rx Paid Claims for Each Fiscal Year</t>
  </si>
  <si>
    <t>15. Catastrophic Claims Reserve Set at $4.5 Million for 2020 Per GTCMHIC Board of Directors Resolution then Increased by Each Year Thereafter by the Variance Between the Budgeted Premium and the Actual Premium.</t>
  </si>
  <si>
    <t>Actual Results                  2020 Fiscal Year</t>
  </si>
  <si>
    <t>Amended Budget       2021 Fiscal Year</t>
  </si>
  <si>
    <t>% Expense Distribution</t>
  </si>
  <si>
    <t>1 week of claims paid in advance</t>
  </si>
  <si>
    <t>SWAG</t>
  </si>
  <si>
    <t>PO Box $200 + 4 Qrtly Newsletters $900 each, +4 Jurat's</t>
  </si>
  <si>
    <t>2020 - 2026 Fiscal Year Budget Projections</t>
  </si>
  <si>
    <t>2018 to 2022</t>
  </si>
  <si>
    <t>$3000 per Qtr &amp; $9800 YE</t>
  </si>
  <si>
    <t>Amouints Paid to a Participating Municipal Employer for Time and Materials Related to Personnel Assigned to the Consortium for Support Work Not Included elsewhere</t>
  </si>
  <si>
    <t>Income received for Finance charges charged to and paid by an owner for overdue invoices</t>
  </si>
  <si>
    <t xml:space="preserve">Other Expenses </t>
  </si>
  <si>
    <t>Training &amp; Prof Development</t>
  </si>
  <si>
    <t>Supplies Expense Including Postage/Printing</t>
  </si>
  <si>
    <t>Computer Equipment Including Software</t>
  </si>
  <si>
    <t>Expenses related to small furniture and equipment purchases for the office space</t>
  </si>
  <si>
    <t>Expenses related to costs for employee training and professional development</t>
  </si>
  <si>
    <t>Expenses related to recurring subscription costs</t>
  </si>
  <si>
    <t>Stop- Loss Insurance</t>
  </si>
  <si>
    <t>2 new laptops ($1500 ea) every other year + Adobe/QB/Zoom/Office 365/Website Mgmt</t>
  </si>
  <si>
    <t>Removed - Don't want to rely on this income</t>
  </si>
  <si>
    <t>on 2020</t>
  </si>
  <si>
    <t>Moving Liability from TC to HC</t>
  </si>
  <si>
    <t>.5% of Cash Balance</t>
  </si>
  <si>
    <t>2.  Interest Income = Estimated at 0.50% of the Total Cash Asset Balance Per Annum</t>
  </si>
  <si>
    <t>Wellness Progam costs</t>
  </si>
  <si>
    <t>Wellness Program Expense</t>
  </si>
  <si>
    <t>The Direct Costs Associated with Wellness Program Initiatives</t>
  </si>
  <si>
    <t>2.  Interest Income = Estimated at 0.5% of the Total Cash Asset Balance Per Annum</t>
  </si>
  <si>
    <t>Projected</t>
  </si>
  <si>
    <t>Actual</t>
  </si>
  <si>
    <t>Wellness Program Costs</t>
  </si>
  <si>
    <t>Consultant Fees (Strat Plan &amp; DEI)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</si>
</sst>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_);[Red]\(&quot;$&quot;#,##0.00\)"/>
    <numFmt numFmtId="43" formatCode="_(* #,##0.00_);_(* \(#,##0.00\);_(* &quot;-&quot;??_);_(@_)"/>
    <numFmt numFmtId="164" formatCode="&quot;$&quot;#,##0.00"/>
    <numFmt numFmtId="165" formatCode="_(* #,##0_);_(* \(#,##0\);_(* &quot;-&quot;??_);_(@_)"/>
    <numFmt numFmtId="166" formatCode="&quot;$&quot;#,##0.0000000"/>
    <numFmt numFmtId="167" formatCode="0.00000%"/>
    <numFmt numFmtId="168" formatCode="0.0%"/>
  </numFmts>
  <fonts count="31" x14ac:knownFonts="1">
    <font>
      <sz val="10"/>
      <name val="Arial"/>
    </font>
    <font>
      <sz val="10"/>
      <name val="Arial"/>
      <family val="2"/>
    </font>
    <font>
      <sz val="10"/>
      <name val="Times New Roman"/>
      <family val="1"/>
    </font>
    <font>
      <b/>
      <sz val="12"/>
      <name val="Times New Roman"/>
      <family val="1"/>
    </font>
    <font>
      <b/>
      <sz val="10"/>
      <name val="Times New Roman"/>
      <family val="1"/>
    </font>
    <font>
      <b/>
      <i/>
      <sz val="10"/>
      <name val="Times New Roman"/>
      <family val="1"/>
    </font>
    <font>
      <sz val="10"/>
      <color indexed="8"/>
      <name val="Times New Roman"/>
      <family val="1"/>
    </font>
    <font>
      <b/>
      <i/>
      <sz val="14"/>
      <name val="Times New Roman"/>
      <family val="1"/>
    </font>
    <font>
      <b/>
      <i/>
      <sz val="10"/>
      <color rgb="FFFF0000"/>
      <name val="Times New Roman"/>
      <family val="1"/>
    </font>
    <font>
      <b/>
      <i/>
      <sz val="10"/>
      <color theme="1"/>
      <name val="Times New Roman"/>
      <family val="1"/>
    </font>
    <font>
      <b/>
      <sz val="10"/>
      <color theme="0"/>
      <name val="Times New Roman"/>
      <family val="1"/>
    </font>
    <font>
      <sz val="10"/>
      <name val="Arial"/>
      <family val="2"/>
    </font>
    <font>
      <sz val="8"/>
      <name val="Times New Roman"/>
      <family val="1"/>
    </font>
    <font>
      <i/>
      <sz val="10"/>
      <color rgb="FFFF0000"/>
      <name val="Times New Roman"/>
      <family val="1"/>
    </font>
    <font>
      <b/>
      <sz val="10"/>
      <color indexed="8"/>
      <name val="Times New Roman"/>
      <family val="1"/>
    </font>
    <font>
      <i/>
      <sz val="9"/>
      <name val="Times New Roman"/>
      <family val="1"/>
    </font>
    <font>
      <sz val="10"/>
      <color theme="1"/>
      <name val="Times New Roman"/>
      <family val="1"/>
    </font>
    <font>
      <sz val="10"/>
      <color rgb="FFFF0000"/>
      <name val="Times New Roman"/>
      <family val="1"/>
    </font>
    <font>
      <b/>
      <i/>
      <sz val="9"/>
      <color rgb="FFFF0000"/>
      <name val="Times New Roman"/>
      <family val="1"/>
    </font>
    <font>
      <b/>
      <i/>
      <sz val="12"/>
      <name val="Times New Roman"/>
      <family val="1"/>
    </font>
    <font>
      <b/>
      <sz val="10"/>
      <color theme="1"/>
      <name val="Times New Roman"/>
      <family val="1"/>
    </font>
    <font>
      <b/>
      <i/>
      <sz val="11"/>
      <color theme="1"/>
      <name val="Times New Roman"/>
      <family val="1"/>
    </font>
    <font>
      <sz val="11"/>
      <color theme="1"/>
      <name val="Times New Roman"/>
      <family val="1"/>
    </font>
    <font>
      <sz val="10"/>
      <name val="Calibri"/>
      <family val="2"/>
    </font>
    <font>
      <b/>
      <i/>
      <sz val="9"/>
      <name val="Times New Roman"/>
      <family val="1"/>
    </font>
    <font>
      <b/>
      <sz val="9"/>
      <name val="Times New Roman"/>
      <family val="1"/>
    </font>
    <font>
      <b/>
      <sz val="11"/>
      <name val="Times New Roman"/>
      <family val="1"/>
    </font>
    <font>
      <b/>
      <sz val="10"/>
      <name val="Calibri"/>
      <family val="2"/>
    </font>
    <font>
      <sz val="11"/>
      <name val="Times New Roman"/>
      <family val="1"/>
    </font>
    <font>
      <i/>
      <sz val="10"/>
      <name val="Times New Roman"/>
      <family val="1"/>
    </font>
    <font>
      <b/>
      <sz val="10"/>
      <color rgb="FFFF0000"/>
      <name val="Times New Roman"/>
      <family val="1"/>
    </font>
  </fonts>
  <fills count="16">
    <fill>
      <patternFill patternType="none"/>
    </fill>
    <fill>
      <patternFill patternType="gray125"/>
    </fill>
    <fill>
      <patternFill patternType="solid">
        <fgColor theme="6"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rgb="FF002060"/>
        <bgColor indexed="64"/>
      </patternFill>
    </fill>
    <fill>
      <patternFill patternType="solid">
        <fgColor rgb="FFFFFF99"/>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8" tint="0.79998168889431442"/>
        <bgColor indexed="64"/>
      </patternFill>
    </fill>
  </fills>
  <borders count="44">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diagonal/>
    </border>
    <border>
      <left/>
      <right/>
      <top/>
      <bottom style="thin">
        <color indexed="64"/>
      </bottom>
      <diagonal/>
    </border>
  </borders>
  <cellStyleXfs count="3">
    <xf numFmtId="0" fontId="0" fillId="0" borderId="0"/>
    <xf numFmtId="43" fontId="1" fillId="0" borderId="0" applyFont="0" applyFill="0" applyBorder="0" applyAlignment="0" applyProtection="0"/>
    <xf numFmtId="9" fontId="11" fillId="0" borderId="0" applyFont="0" applyFill="0" applyBorder="0" applyAlignment="0" applyProtection="0"/>
  </cellStyleXfs>
  <cellXfs count="382">
    <xf numFmtId="0" fontId="0" fillId="0" borderId="0" xfId="0"/>
    <xf numFmtId="0" fontId="4" fillId="0" borderId="0" xfId="0" applyFont="1" applyAlignment="1">
      <alignment vertical="center"/>
    </xf>
    <xf numFmtId="0" fontId="2" fillId="0" borderId="0" xfId="0" applyFont="1" applyAlignment="1">
      <alignment vertical="center"/>
    </xf>
    <xf numFmtId="164" fontId="2" fillId="0" borderId="2" xfId="0" applyNumberFormat="1" applyFont="1" applyBorder="1" applyAlignment="1">
      <alignment horizontal="center" vertical="center"/>
    </xf>
    <xf numFmtId="164" fontId="2" fillId="0" borderId="2" xfId="0" applyNumberFormat="1" applyFont="1" applyBorder="1" applyAlignment="1">
      <alignment vertical="center"/>
    </xf>
    <xf numFmtId="0" fontId="7" fillId="0" borderId="0" xfId="0" applyFont="1" applyAlignment="1">
      <alignment vertical="center"/>
    </xf>
    <xf numFmtId="164" fontId="2" fillId="0" borderId="0" xfId="0" applyNumberFormat="1" applyFont="1" applyAlignment="1">
      <alignment vertical="center"/>
    </xf>
    <xf numFmtId="0" fontId="2" fillId="0" borderId="6" xfId="0" applyFont="1" applyBorder="1" applyAlignment="1">
      <alignment vertical="center"/>
    </xf>
    <xf numFmtId="0" fontId="3" fillId="0" borderId="0" xfId="0" applyFont="1" applyAlignment="1">
      <alignment vertical="center"/>
    </xf>
    <xf numFmtId="0" fontId="5" fillId="2" borderId="2" xfId="0" applyFont="1" applyFill="1" applyBorder="1" applyAlignment="1">
      <alignment horizontal="center" vertical="center" wrapText="1"/>
    </xf>
    <xf numFmtId="164" fontId="5" fillId="2" borderId="2" xfId="0" applyNumberFormat="1" applyFont="1" applyFill="1" applyBorder="1" applyAlignment="1">
      <alignment vertical="center"/>
    </xf>
    <xf numFmtId="0" fontId="4" fillId="2" borderId="5" xfId="0" applyFont="1" applyFill="1" applyBorder="1" applyAlignment="1">
      <alignment vertical="center"/>
    </xf>
    <xf numFmtId="0" fontId="4" fillId="2" borderId="4" xfId="0" applyFont="1" applyFill="1" applyBorder="1" applyAlignment="1">
      <alignment vertical="center"/>
    </xf>
    <xf numFmtId="164" fontId="2" fillId="0" borderId="6" xfId="0" applyNumberFormat="1" applyFont="1" applyBorder="1" applyAlignment="1">
      <alignment vertical="center"/>
    </xf>
    <xf numFmtId="0" fontId="2" fillId="0" borderId="0" xfId="0" applyFont="1" applyFill="1" applyAlignment="1">
      <alignment vertical="center"/>
    </xf>
    <xf numFmtId="0" fontId="8" fillId="0" borderId="2" xfId="0" applyFont="1" applyFill="1" applyBorder="1" applyAlignment="1">
      <alignment vertical="center"/>
    </xf>
    <xf numFmtId="164" fontId="8" fillId="0" borderId="2" xfId="0" applyNumberFormat="1" applyFont="1" applyFill="1" applyBorder="1" applyAlignment="1">
      <alignment vertical="center"/>
    </xf>
    <xf numFmtId="0" fontId="5" fillId="2" borderId="5" xfId="0" applyFont="1" applyFill="1" applyBorder="1" applyAlignment="1">
      <alignment vertical="center"/>
    </xf>
    <xf numFmtId="164" fontId="2" fillId="0" borderId="2" xfId="0" applyNumberFormat="1" applyFont="1" applyBorder="1" applyAlignment="1">
      <alignment horizontal="right" vertical="center"/>
    </xf>
    <xf numFmtId="164" fontId="8" fillId="0" borderId="2" xfId="0" applyNumberFormat="1" applyFont="1" applyBorder="1" applyAlignment="1">
      <alignment vertical="center"/>
    </xf>
    <xf numFmtId="164" fontId="9" fillId="2" borderId="2" xfId="0" applyNumberFormat="1" applyFont="1" applyFill="1" applyBorder="1" applyAlignment="1">
      <alignment vertical="center"/>
    </xf>
    <xf numFmtId="0" fontId="6" fillId="0" borderId="0" xfId="0" applyFont="1" applyAlignment="1">
      <alignment vertical="center"/>
    </xf>
    <xf numFmtId="10" fontId="2" fillId="0" borderId="0" xfId="0" applyNumberFormat="1" applyFont="1" applyAlignment="1">
      <alignment vertical="center"/>
    </xf>
    <xf numFmtId="0" fontId="5" fillId="0" borderId="2" xfId="0" applyFont="1" applyBorder="1" applyAlignment="1">
      <alignment horizontal="center" vertical="center"/>
    </xf>
    <xf numFmtId="0" fontId="4" fillId="2" borderId="2" xfId="0" applyFont="1" applyFill="1" applyBorder="1" applyAlignment="1">
      <alignment vertical="center"/>
    </xf>
    <xf numFmtId="0" fontId="5" fillId="6" borderId="2" xfId="0" applyFont="1" applyFill="1" applyBorder="1" applyAlignment="1">
      <alignment horizontal="center" vertical="center" wrapText="1"/>
    </xf>
    <xf numFmtId="10" fontId="2" fillId="0" borderId="2" xfId="0" applyNumberFormat="1" applyFont="1" applyBorder="1" applyAlignment="1">
      <alignment horizontal="center" vertical="center"/>
    </xf>
    <xf numFmtId="164" fontId="2" fillId="0" borderId="5" xfId="0" applyNumberFormat="1" applyFont="1" applyBorder="1" applyAlignment="1">
      <alignment horizontal="center" vertical="center"/>
    </xf>
    <xf numFmtId="164" fontId="2" fillId="0" borderId="5" xfId="0" applyNumberFormat="1" applyFont="1" applyFill="1" applyBorder="1" applyAlignment="1">
      <alignment horizontal="center" vertical="center"/>
    </xf>
    <xf numFmtId="10" fontId="5" fillId="2" borderId="6" xfId="0" applyNumberFormat="1" applyFont="1" applyFill="1" applyBorder="1" applyAlignment="1">
      <alignment horizontal="center" vertical="center"/>
    </xf>
    <xf numFmtId="0" fontId="2" fillId="0" borderId="0" xfId="0" applyFont="1" applyBorder="1" applyAlignment="1">
      <alignment horizontal="center" vertical="center"/>
    </xf>
    <xf numFmtId="0" fontId="5" fillId="6" borderId="2" xfId="0" applyFont="1" applyFill="1" applyBorder="1" applyAlignment="1">
      <alignment horizontal="center" vertical="center"/>
    </xf>
    <xf numFmtId="0" fontId="2" fillId="0" borderId="2" xfId="0" applyFont="1" applyBorder="1" applyAlignment="1">
      <alignment horizontal="center" vertical="center"/>
    </xf>
    <xf numFmtId="0" fontId="2" fillId="0" borderId="0" xfId="0" applyFont="1" applyBorder="1" applyAlignment="1">
      <alignment vertical="center"/>
    </xf>
    <xf numFmtId="164" fontId="6" fillId="0" borderId="0" xfId="0" applyNumberFormat="1" applyFont="1" applyAlignment="1">
      <alignment vertical="center"/>
    </xf>
    <xf numFmtId="0" fontId="5" fillId="2" borderId="3" xfId="0" applyFont="1" applyFill="1" applyBorder="1" applyAlignment="1">
      <alignment vertical="center"/>
    </xf>
    <xf numFmtId="0" fontId="5" fillId="2" borderId="4" xfId="0" applyFont="1" applyFill="1" applyBorder="1" applyAlignment="1">
      <alignment vertical="center"/>
    </xf>
    <xf numFmtId="0" fontId="5" fillId="2" borderId="2" xfId="0" applyFont="1" applyFill="1" applyBorder="1" applyAlignment="1">
      <alignment horizontal="center" vertical="center" wrapText="1"/>
    </xf>
    <xf numFmtId="0" fontId="4" fillId="2" borderId="2" xfId="0" applyFont="1" applyFill="1" applyBorder="1" applyAlignment="1">
      <alignment vertical="center"/>
    </xf>
    <xf numFmtId="10" fontId="9" fillId="2" borderId="2" xfId="2" applyNumberFormat="1" applyFont="1" applyFill="1" applyBorder="1" applyAlignment="1">
      <alignment vertical="center"/>
    </xf>
    <xf numFmtId="10" fontId="2" fillId="0" borderId="0" xfId="2" applyNumberFormat="1" applyFont="1" applyAlignment="1">
      <alignment vertical="center"/>
    </xf>
    <xf numFmtId="0" fontId="5" fillId="0" borderId="6" xfId="0" applyFont="1" applyBorder="1" applyAlignment="1">
      <alignment horizontal="center" vertical="center"/>
    </xf>
    <xf numFmtId="164" fontId="4" fillId="0" borderId="0" xfId="0" applyNumberFormat="1" applyFont="1" applyAlignment="1">
      <alignment vertical="center"/>
    </xf>
    <xf numFmtId="0" fontId="12" fillId="0" borderId="0" xfId="0" applyFont="1" applyFill="1" applyBorder="1" applyAlignment="1">
      <alignment vertical="center" wrapText="1"/>
    </xf>
    <xf numFmtId="10" fontId="6" fillId="0" borderId="0" xfId="0" applyNumberFormat="1" applyFont="1" applyAlignment="1">
      <alignment vertical="center"/>
    </xf>
    <xf numFmtId="3" fontId="5" fillId="4" borderId="0" xfId="0" applyNumberFormat="1" applyFont="1" applyFill="1" applyAlignment="1">
      <alignment horizontal="right" vertical="center"/>
    </xf>
    <xf numFmtId="164" fontId="14" fillId="4" borderId="2" xfId="0" applyNumberFormat="1" applyFont="1" applyFill="1" applyBorder="1" applyAlignment="1">
      <alignment vertical="center"/>
    </xf>
    <xf numFmtId="165" fontId="5" fillId="4" borderId="0" xfId="0" applyNumberFormat="1" applyFont="1" applyFill="1" applyAlignment="1">
      <alignment horizontal="center" vertical="center"/>
    </xf>
    <xf numFmtId="0" fontId="8" fillId="0" borderId="0" xfId="0" applyFont="1" applyAlignment="1">
      <alignment horizontal="center" vertical="center"/>
    </xf>
    <xf numFmtId="0" fontId="2" fillId="0" borderId="2" xfId="0" applyFont="1" applyBorder="1" applyAlignment="1">
      <alignment vertical="center"/>
    </xf>
    <xf numFmtId="164" fontId="5" fillId="2" borderId="6" xfId="0" applyNumberFormat="1" applyFont="1" applyFill="1" applyBorder="1" applyAlignment="1">
      <alignment horizontal="center" vertical="center"/>
    </xf>
    <xf numFmtId="10" fontId="13" fillId="0" borderId="2" xfId="0" applyNumberFormat="1" applyFont="1" applyBorder="1" applyAlignment="1">
      <alignment horizontal="center" vertical="center"/>
    </xf>
    <xf numFmtId="164" fontId="5" fillId="2" borderId="6" xfId="0" applyNumberFormat="1" applyFont="1" applyFill="1" applyBorder="1" applyAlignment="1">
      <alignment horizontal="right" vertical="center"/>
    </xf>
    <xf numFmtId="3" fontId="2" fillId="0" borderId="2" xfId="0" applyNumberFormat="1" applyFont="1" applyBorder="1" applyAlignment="1">
      <alignment horizontal="center" vertical="center"/>
    </xf>
    <xf numFmtId="3" fontId="5" fillId="2" borderId="6" xfId="0" applyNumberFormat="1" applyFont="1" applyFill="1" applyBorder="1" applyAlignment="1">
      <alignment horizontal="center" vertical="center"/>
    </xf>
    <xf numFmtId="0" fontId="5" fillId="2" borderId="2" xfId="0" applyFont="1" applyFill="1" applyBorder="1" applyAlignment="1">
      <alignment horizontal="center" vertical="center" wrapText="1"/>
    </xf>
    <xf numFmtId="0" fontId="2" fillId="0" borderId="2" xfId="0" applyFont="1" applyFill="1" applyBorder="1" applyAlignment="1">
      <alignment vertical="center"/>
    </xf>
    <xf numFmtId="164" fontId="2" fillId="0" borderId="0" xfId="0" applyNumberFormat="1" applyFont="1" applyFill="1" applyAlignment="1">
      <alignment vertical="center"/>
    </xf>
    <xf numFmtId="0" fontId="4" fillId="0" borderId="0" xfId="0" applyFont="1" applyFill="1" applyAlignment="1">
      <alignment vertical="center"/>
    </xf>
    <xf numFmtId="164" fontId="2" fillId="0" borderId="4" xfId="0" applyNumberFormat="1" applyFont="1" applyBorder="1" applyAlignment="1">
      <alignment horizontal="center" vertical="center"/>
    </xf>
    <xf numFmtId="0" fontId="4" fillId="2" borderId="2" xfId="0" applyFont="1" applyFill="1" applyBorder="1" applyAlignment="1">
      <alignment vertical="center"/>
    </xf>
    <xf numFmtId="0" fontId="5" fillId="8" borderId="2" xfId="0" applyFont="1" applyFill="1" applyBorder="1" applyAlignment="1">
      <alignment horizontal="center" vertical="center"/>
    </xf>
    <xf numFmtId="8" fontId="5" fillId="2" borderId="2" xfId="0" applyNumberFormat="1" applyFont="1" applyFill="1" applyBorder="1" applyAlignment="1">
      <alignment vertical="center"/>
    </xf>
    <xf numFmtId="3" fontId="5" fillId="0" borderId="2" xfId="0" applyNumberFormat="1" applyFont="1" applyFill="1" applyBorder="1" applyAlignment="1">
      <alignment horizontal="center" vertical="center"/>
    </xf>
    <xf numFmtId="0" fontId="15" fillId="10" borderId="2" xfId="0" applyFont="1" applyFill="1" applyBorder="1" applyAlignment="1">
      <alignment horizontal="center" vertical="center"/>
    </xf>
    <xf numFmtId="164" fontId="4" fillId="4" borderId="2" xfId="0" applyNumberFormat="1" applyFont="1" applyFill="1" applyBorder="1" applyAlignment="1">
      <alignment vertical="center"/>
    </xf>
    <xf numFmtId="164" fontId="5" fillId="4" borderId="7" xfId="0" applyNumberFormat="1" applyFont="1" applyFill="1" applyBorder="1" applyAlignment="1">
      <alignment vertical="center"/>
    </xf>
    <xf numFmtId="10" fontId="2" fillId="0" borderId="0" xfId="2" applyNumberFormat="1" applyFont="1" applyFill="1" applyAlignment="1">
      <alignment vertical="center"/>
    </xf>
    <xf numFmtId="164" fontId="16" fillId="0" borderId="2" xfId="0" applyNumberFormat="1" applyFont="1" applyBorder="1" applyAlignment="1">
      <alignment vertical="center"/>
    </xf>
    <xf numFmtId="0" fontId="4" fillId="4" borderId="2" xfId="0" applyFont="1" applyFill="1" applyBorder="1" applyAlignment="1">
      <alignment horizontal="center" vertical="center"/>
    </xf>
    <xf numFmtId="0" fontId="4" fillId="2" borderId="2" xfId="0" applyFont="1" applyFill="1" applyBorder="1" applyAlignment="1">
      <alignment vertical="center"/>
    </xf>
    <xf numFmtId="164" fontId="2" fillId="0" borderId="4" xfId="0" applyNumberFormat="1" applyFont="1" applyBorder="1" applyAlignment="1">
      <alignment vertical="center"/>
    </xf>
    <xf numFmtId="164" fontId="8" fillId="0" borderId="4" xfId="0" applyNumberFormat="1" applyFont="1" applyFill="1" applyBorder="1" applyAlignment="1">
      <alignment vertical="center"/>
    </xf>
    <xf numFmtId="164" fontId="5" fillId="4" borderId="12" xfId="0" applyNumberFormat="1" applyFont="1" applyFill="1" applyBorder="1" applyAlignment="1">
      <alignment vertical="center"/>
    </xf>
    <xf numFmtId="49" fontId="2" fillId="0" borderId="0" xfId="0" applyNumberFormat="1" applyFont="1" applyAlignment="1">
      <alignment vertical="center"/>
    </xf>
    <xf numFmtId="10" fontId="5" fillId="0" borderId="0" xfId="0" applyNumberFormat="1" applyFont="1" applyFill="1" applyBorder="1" applyAlignment="1">
      <alignment horizontal="center" vertical="center"/>
    </xf>
    <xf numFmtId="0" fontId="2" fillId="0" borderId="0" xfId="0" applyFont="1" applyFill="1" applyBorder="1" applyAlignment="1">
      <alignment vertical="center"/>
    </xf>
    <xf numFmtId="0" fontId="5" fillId="0" borderId="0" xfId="0" applyFont="1" applyFill="1" applyBorder="1" applyAlignment="1">
      <alignment horizontal="center" vertical="center"/>
    </xf>
    <xf numFmtId="0" fontId="5" fillId="2" borderId="2" xfId="0" applyFont="1" applyFill="1" applyBorder="1" applyAlignment="1">
      <alignment horizontal="center" vertical="center"/>
    </xf>
    <xf numFmtId="10" fontId="5" fillId="2" borderId="2" xfId="0" applyNumberFormat="1" applyFont="1" applyFill="1" applyBorder="1" applyAlignment="1">
      <alignment horizontal="center" vertical="center"/>
    </xf>
    <xf numFmtId="0" fontId="18" fillId="0" borderId="0" xfId="0" applyFont="1" applyAlignment="1">
      <alignment horizontal="center" vertical="center"/>
    </xf>
    <xf numFmtId="0" fontId="19" fillId="0" borderId="0" xfId="0" applyFont="1" applyAlignment="1">
      <alignment vertical="center"/>
    </xf>
    <xf numFmtId="0" fontId="20" fillId="3" borderId="2" xfId="0" applyFont="1" applyFill="1" applyBorder="1" applyAlignment="1">
      <alignment horizontal="center" vertical="center" wrapText="1"/>
    </xf>
    <xf numFmtId="164" fontId="17" fillId="0" borderId="2" xfId="0" applyNumberFormat="1" applyFont="1" applyBorder="1" applyAlignment="1">
      <alignment horizontal="center" vertical="center"/>
    </xf>
    <xf numFmtId="14" fontId="2" fillId="0" borderId="2" xfId="0" applyNumberFormat="1" applyFont="1" applyBorder="1" applyAlignment="1">
      <alignment horizontal="center" vertical="center"/>
    </xf>
    <xf numFmtId="10" fontId="2" fillId="0" borderId="2" xfId="2" applyNumberFormat="1" applyFont="1" applyBorder="1" applyAlignment="1">
      <alignment horizontal="center" vertical="center"/>
    </xf>
    <xf numFmtId="0" fontId="17" fillId="0" borderId="0" xfId="0" applyFont="1" applyAlignment="1">
      <alignment vertical="center"/>
    </xf>
    <xf numFmtId="0" fontId="2" fillId="0" borderId="2" xfId="0" applyNumberFormat="1" applyFont="1" applyBorder="1" applyAlignment="1">
      <alignment horizontal="center" vertical="center"/>
    </xf>
    <xf numFmtId="3" fontId="17" fillId="0" borderId="2" xfId="0" applyNumberFormat="1" applyFont="1" applyBorder="1" applyAlignment="1">
      <alignment horizontal="center" vertical="center"/>
    </xf>
    <xf numFmtId="0" fontId="22" fillId="0" borderId="2" xfId="0" applyFont="1" applyBorder="1" applyAlignment="1">
      <alignment horizontal="left" vertical="center"/>
    </xf>
    <xf numFmtId="0" fontId="21" fillId="3" borderId="2" xfId="0" applyFont="1" applyFill="1" applyBorder="1" applyAlignment="1">
      <alignment horizontal="left" vertical="center" wrapText="1"/>
    </xf>
    <xf numFmtId="166" fontId="2" fillId="0" borderId="0" xfId="2" applyNumberFormat="1" applyFont="1" applyAlignment="1">
      <alignment vertical="center"/>
    </xf>
    <xf numFmtId="0" fontId="5" fillId="2" borderId="10" xfId="0" applyFont="1" applyFill="1" applyBorder="1" applyAlignment="1">
      <alignment vertical="center"/>
    </xf>
    <xf numFmtId="10" fontId="2" fillId="0" borderId="6" xfId="0" applyNumberFormat="1" applyFont="1" applyBorder="1" applyAlignment="1">
      <alignment horizontal="center" vertical="center"/>
    </xf>
    <xf numFmtId="164" fontId="2" fillId="0" borderId="0" xfId="0" applyNumberFormat="1" applyFont="1" applyBorder="1" applyAlignment="1">
      <alignment vertical="center"/>
    </xf>
    <xf numFmtId="10" fontId="2" fillId="0" borderId="0" xfId="0" applyNumberFormat="1" applyFont="1" applyBorder="1" applyAlignment="1">
      <alignment horizontal="center" vertical="center"/>
    </xf>
    <xf numFmtId="0" fontId="4" fillId="4" borderId="2" xfId="0" applyFont="1" applyFill="1" applyBorder="1" applyAlignment="1">
      <alignment horizontal="center" vertical="center"/>
    </xf>
    <xf numFmtId="0" fontId="4" fillId="2" borderId="2" xfId="0" applyFont="1" applyFill="1" applyBorder="1" applyAlignment="1">
      <alignment vertical="center"/>
    </xf>
    <xf numFmtId="0" fontId="5" fillId="2" borderId="3" xfId="0" applyFont="1" applyFill="1" applyBorder="1" applyAlignment="1">
      <alignment vertical="center"/>
    </xf>
    <xf numFmtId="0" fontId="15" fillId="0" borderId="2" xfId="0" applyFont="1" applyBorder="1" applyAlignment="1">
      <alignment horizontal="center" vertical="center"/>
    </xf>
    <xf numFmtId="0" fontId="4" fillId="0" borderId="2" xfId="0" applyFont="1" applyBorder="1" applyAlignment="1">
      <alignment horizontal="center" vertical="center"/>
    </xf>
    <xf numFmtId="164" fontId="2" fillId="13" borderId="2" xfId="0" applyNumberFormat="1" applyFont="1" applyFill="1" applyBorder="1" applyAlignment="1">
      <alignment vertical="center"/>
    </xf>
    <xf numFmtId="0" fontId="2" fillId="13" borderId="2" xfId="0" applyFont="1" applyFill="1" applyBorder="1" applyAlignment="1">
      <alignment vertical="center"/>
    </xf>
    <xf numFmtId="0" fontId="2" fillId="2" borderId="1" xfId="0" applyFont="1" applyFill="1" applyBorder="1" applyAlignment="1">
      <alignment vertical="center"/>
    </xf>
    <xf numFmtId="0" fontId="2" fillId="2" borderId="12" xfId="0" applyFont="1" applyFill="1" applyBorder="1" applyAlignment="1">
      <alignment vertical="center"/>
    </xf>
    <xf numFmtId="0" fontId="2" fillId="3" borderId="2" xfId="0" applyFont="1" applyFill="1" applyBorder="1" applyAlignment="1">
      <alignment vertical="center"/>
    </xf>
    <xf numFmtId="164" fontId="2" fillId="3" borderId="2" xfId="0" applyNumberFormat="1" applyFont="1" applyFill="1" applyBorder="1" applyAlignment="1">
      <alignment horizontal="right" vertical="center"/>
    </xf>
    <xf numFmtId="164" fontId="2" fillId="3" borderId="2" xfId="0" applyNumberFormat="1" applyFont="1" applyFill="1" applyBorder="1" applyAlignment="1">
      <alignment vertical="center"/>
    </xf>
    <xf numFmtId="0" fontId="2" fillId="0" borderId="3" xfId="0" applyFont="1" applyBorder="1" applyAlignment="1">
      <alignment vertical="center"/>
    </xf>
    <xf numFmtId="164" fontId="9" fillId="0" borderId="0" xfId="0" applyNumberFormat="1" applyFont="1" applyFill="1" applyAlignment="1">
      <alignment vertical="center"/>
    </xf>
    <xf numFmtId="0" fontId="9" fillId="0" borderId="0" xfId="0" applyFont="1" applyAlignment="1">
      <alignment vertical="center"/>
    </xf>
    <xf numFmtId="3" fontId="5" fillId="4" borderId="2" xfId="0" applyNumberFormat="1" applyFont="1" applyFill="1" applyBorder="1" applyAlignment="1">
      <alignment horizontal="right" vertical="center"/>
    </xf>
    <xf numFmtId="0" fontId="2" fillId="11" borderId="2" xfId="0" applyFont="1" applyFill="1" applyBorder="1" applyAlignment="1">
      <alignment horizontal="center" vertical="center"/>
    </xf>
    <xf numFmtId="164" fontId="5" fillId="4" borderId="2" xfId="0" applyNumberFormat="1" applyFont="1" applyFill="1" applyBorder="1" applyAlignment="1">
      <alignment vertical="center"/>
    </xf>
    <xf numFmtId="0" fontId="5" fillId="0" borderId="0" xfId="0" applyFont="1" applyAlignment="1">
      <alignment vertical="center"/>
    </xf>
    <xf numFmtId="164" fontId="5" fillId="0" borderId="0" xfId="0" applyNumberFormat="1" applyFont="1" applyAlignment="1">
      <alignment vertical="center"/>
    </xf>
    <xf numFmtId="0" fontId="9" fillId="0" borderId="0" xfId="0" applyFont="1" applyAlignment="1">
      <alignment vertical="center"/>
    </xf>
    <xf numFmtId="0" fontId="2" fillId="2" borderId="5" xfId="0" applyFont="1" applyFill="1" applyBorder="1" applyAlignment="1">
      <alignment vertical="center"/>
    </xf>
    <xf numFmtId="0" fontId="2" fillId="2" borderId="4" xfId="0" applyFont="1" applyFill="1" applyBorder="1" applyAlignment="1">
      <alignment vertical="center"/>
    </xf>
    <xf numFmtId="10" fontId="9" fillId="0" borderId="0" xfId="2" applyNumberFormat="1" applyFont="1" applyFill="1" applyBorder="1" applyAlignment="1">
      <alignment vertical="center"/>
    </xf>
    <xf numFmtId="0" fontId="24" fillId="14" borderId="2" xfId="0" applyFont="1" applyFill="1" applyBorder="1" applyAlignment="1">
      <alignment horizontal="center" vertical="center"/>
    </xf>
    <xf numFmtId="10" fontId="5" fillId="14" borderId="2" xfId="0" applyNumberFormat="1" applyFont="1" applyFill="1" applyBorder="1" applyAlignment="1">
      <alignment horizontal="center" vertical="center"/>
    </xf>
    <xf numFmtId="0" fontId="2" fillId="14" borderId="2" xfId="0" applyFont="1" applyFill="1" applyBorder="1" applyAlignment="1">
      <alignment horizontal="center" vertical="center"/>
    </xf>
    <xf numFmtId="0" fontId="24" fillId="13" borderId="2" xfId="0" applyFont="1" applyFill="1" applyBorder="1" applyAlignment="1">
      <alignment horizontal="center" vertical="center"/>
    </xf>
    <xf numFmtId="10" fontId="5" fillId="13" borderId="2" xfId="0" applyNumberFormat="1" applyFont="1" applyFill="1" applyBorder="1" applyAlignment="1">
      <alignment horizontal="center" vertical="center"/>
    </xf>
    <xf numFmtId="0" fontId="2" fillId="13" borderId="2" xfId="0" applyFont="1" applyFill="1" applyBorder="1" applyAlignment="1">
      <alignment horizontal="center" vertical="center"/>
    </xf>
    <xf numFmtId="0" fontId="2" fillId="0" borderId="3" xfId="0" applyFont="1" applyFill="1" applyBorder="1" applyAlignment="1">
      <alignment vertical="center"/>
    </xf>
    <xf numFmtId="0" fontId="4" fillId="4" borderId="2" xfId="0" applyFont="1" applyFill="1" applyBorder="1" applyAlignment="1">
      <alignment horizontal="center" vertical="center"/>
    </xf>
    <xf numFmtId="0" fontId="2" fillId="0" borderId="0" xfId="0" applyFont="1" applyAlignment="1">
      <alignment vertical="center" wrapText="1"/>
    </xf>
    <xf numFmtId="0" fontId="5" fillId="0" borderId="0" xfId="0" applyFont="1" applyFill="1" applyBorder="1" applyAlignment="1">
      <alignment vertical="center"/>
    </xf>
    <xf numFmtId="0" fontId="2" fillId="5" borderId="3" xfId="0" applyFont="1" applyFill="1" applyBorder="1" applyAlignment="1">
      <alignment vertical="center"/>
    </xf>
    <xf numFmtId="167" fontId="2" fillId="0" borderId="2" xfId="2" applyNumberFormat="1" applyFont="1" applyBorder="1" applyAlignment="1">
      <alignment vertical="center"/>
    </xf>
    <xf numFmtId="0" fontId="2" fillId="0" borderId="15" xfId="0" applyFont="1" applyBorder="1" applyAlignment="1">
      <alignment vertical="center"/>
    </xf>
    <xf numFmtId="0" fontId="2" fillId="0" borderId="16" xfId="0" applyFont="1" applyBorder="1" applyAlignment="1">
      <alignment vertical="center"/>
    </xf>
    <xf numFmtId="0" fontId="15" fillId="4" borderId="19" xfId="0" applyFont="1" applyFill="1" applyBorder="1" applyAlignment="1">
      <alignment horizontal="center" vertical="center"/>
    </xf>
    <xf numFmtId="0" fontId="2" fillId="0" borderId="22" xfId="0" applyFont="1" applyBorder="1" applyAlignment="1">
      <alignment vertical="center"/>
    </xf>
    <xf numFmtId="0" fontId="2" fillId="0" borderId="23" xfId="0" applyFont="1" applyBorder="1" applyAlignment="1">
      <alignment vertical="center"/>
    </xf>
    <xf numFmtId="0" fontId="15" fillId="12" borderId="21" xfId="0" applyFont="1" applyFill="1" applyBorder="1" applyAlignment="1">
      <alignment horizontal="center" vertical="center"/>
    </xf>
    <xf numFmtId="0" fontId="2" fillId="5" borderId="15" xfId="0" applyFont="1" applyFill="1" applyBorder="1" applyAlignment="1">
      <alignment vertical="center"/>
    </xf>
    <xf numFmtId="0" fontId="15" fillId="0" borderId="14" xfId="0" applyFont="1" applyBorder="1" applyAlignment="1">
      <alignment horizontal="center" vertical="center"/>
    </xf>
    <xf numFmtId="0" fontId="15" fillId="0" borderId="19" xfId="0" applyFont="1" applyBorder="1" applyAlignment="1">
      <alignment horizontal="center" vertical="center"/>
    </xf>
    <xf numFmtId="0" fontId="15" fillId="0" borderId="21" xfId="0" applyFont="1" applyBorder="1" applyAlignment="1">
      <alignment horizontal="center" vertical="center"/>
    </xf>
    <xf numFmtId="0" fontId="15" fillId="0" borderId="14" xfId="0" applyFont="1" applyFill="1" applyBorder="1" applyAlignment="1">
      <alignment horizontal="center" vertical="center"/>
    </xf>
    <xf numFmtId="0" fontId="15" fillId="0" borderId="19"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19" xfId="0" applyFont="1" applyBorder="1" applyAlignment="1">
      <alignment horizontal="center" vertical="center"/>
    </xf>
    <xf numFmtId="0" fontId="26" fillId="2" borderId="14" xfId="0" applyFont="1" applyFill="1" applyBorder="1" applyAlignment="1">
      <alignment horizontal="center" vertical="center" wrapText="1"/>
    </xf>
    <xf numFmtId="0" fontId="26" fillId="2" borderId="16" xfId="0" applyFont="1" applyFill="1" applyBorder="1" applyAlignment="1">
      <alignment vertical="center" wrapText="1"/>
    </xf>
    <xf numFmtId="0" fontId="26" fillId="2" borderId="33" xfId="0" applyFont="1" applyFill="1" applyBorder="1" applyAlignment="1">
      <alignment vertical="center" wrapText="1"/>
    </xf>
    <xf numFmtId="0" fontId="25" fillId="10" borderId="19" xfId="0" applyFont="1" applyFill="1" applyBorder="1" applyAlignment="1">
      <alignment horizontal="center" vertical="center"/>
    </xf>
    <xf numFmtId="0" fontId="2" fillId="0" borderId="34" xfId="0" applyFont="1" applyBorder="1" applyAlignment="1">
      <alignment vertical="center"/>
    </xf>
    <xf numFmtId="0" fontId="25" fillId="0" borderId="19" xfId="0" applyFont="1" applyBorder="1" applyAlignment="1">
      <alignment horizontal="center" vertical="center"/>
    </xf>
    <xf numFmtId="0" fontId="4" fillId="0" borderId="19" xfId="0" applyFont="1" applyBorder="1" applyAlignment="1">
      <alignment horizontal="center" vertical="center"/>
    </xf>
    <xf numFmtId="0" fontId="4" fillId="11" borderId="19" xfId="0" applyFont="1" applyFill="1" applyBorder="1" applyAlignment="1">
      <alignment horizontal="center" vertical="center"/>
    </xf>
    <xf numFmtId="0" fontId="4" fillId="0" borderId="19" xfId="0" applyFont="1" applyBorder="1" applyAlignment="1">
      <alignment vertical="center"/>
    </xf>
    <xf numFmtId="0" fontId="5" fillId="0" borderId="21" xfId="0" applyFont="1" applyFill="1" applyBorder="1" applyAlignment="1">
      <alignment vertical="center"/>
    </xf>
    <xf numFmtId="0" fontId="5" fillId="0" borderId="23" xfId="0" applyFont="1" applyFill="1" applyBorder="1" applyAlignment="1">
      <alignment vertical="center"/>
    </xf>
    <xf numFmtId="0" fontId="2" fillId="0" borderId="35" xfId="0" applyFont="1" applyFill="1" applyBorder="1" applyAlignment="1">
      <alignment vertical="center"/>
    </xf>
    <xf numFmtId="0" fontId="26" fillId="2" borderId="36" xfId="0" applyFont="1" applyFill="1" applyBorder="1" applyAlignment="1">
      <alignment vertical="center" wrapText="1"/>
    </xf>
    <xf numFmtId="0" fontId="26" fillId="2" borderId="36" xfId="0" applyFont="1" applyFill="1" applyBorder="1" applyAlignment="1">
      <alignment horizontal="center" vertical="center" wrapText="1"/>
    </xf>
    <xf numFmtId="0" fontId="4" fillId="2" borderId="18" xfId="0" applyFont="1" applyFill="1" applyBorder="1" applyAlignment="1">
      <alignment horizontal="center" vertical="center"/>
    </xf>
    <xf numFmtId="164" fontId="2" fillId="0" borderId="37" xfId="0" applyNumberFormat="1" applyFont="1" applyBorder="1" applyAlignment="1">
      <alignment vertical="center"/>
    </xf>
    <xf numFmtId="0" fontId="2" fillId="0" borderId="38" xfId="0" applyFont="1" applyBorder="1" applyAlignment="1">
      <alignment vertical="center"/>
    </xf>
    <xf numFmtId="10" fontId="2" fillId="0" borderId="2" xfId="0" applyNumberFormat="1" applyFont="1" applyBorder="1" applyAlignment="1">
      <alignment vertical="center"/>
    </xf>
    <xf numFmtId="0" fontId="5" fillId="0" borderId="0" xfId="0" applyFont="1" applyBorder="1" applyAlignment="1">
      <alignment horizontal="center" vertical="center"/>
    </xf>
    <xf numFmtId="10" fontId="13" fillId="0" borderId="0" xfId="0" applyNumberFormat="1" applyFont="1" applyBorder="1" applyAlignment="1">
      <alignment horizontal="center" vertical="center"/>
    </xf>
    <xf numFmtId="0" fontId="4" fillId="15" borderId="2" xfId="0" applyFont="1" applyFill="1" applyBorder="1" applyAlignment="1">
      <alignment vertical="center"/>
    </xf>
    <xf numFmtId="10" fontId="4" fillId="15" borderId="2" xfId="0" applyNumberFormat="1" applyFont="1" applyFill="1" applyBorder="1" applyAlignment="1">
      <alignment vertical="center"/>
    </xf>
    <xf numFmtId="0" fontId="5" fillId="2" borderId="4" xfId="0" applyFont="1" applyFill="1" applyBorder="1" applyAlignment="1">
      <alignment vertical="center"/>
    </xf>
    <xf numFmtId="0" fontId="2" fillId="0" borderId="2" xfId="0" applyFont="1" applyBorder="1" applyAlignment="1">
      <alignment vertical="center" wrapText="1"/>
    </xf>
    <xf numFmtId="0" fontId="2" fillId="3" borderId="2" xfId="0" applyFont="1" applyFill="1" applyBorder="1" applyAlignment="1">
      <alignment horizontal="center" vertical="center"/>
    </xf>
    <xf numFmtId="0" fontId="2" fillId="3" borderId="2" xfId="0" applyFont="1" applyFill="1" applyBorder="1" applyAlignment="1">
      <alignment vertical="center" wrapText="1"/>
    </xf>
    <xf numFmtId="14" fontId="8" fillId="0" borderId="0" xfId="0" applyNumberFormat="1" applyFont="1" applyAlignment="1">
      <alignment horizontal="center" vertical="center"/>
    </xf>
    <xf numFmtId="0" fontId="2" fillId="0" borderId="19" xfId="0" applyFont="1" applyFill="1" applyBorder="1" applyAlignment="1">
      <alignment horizontal="left" vertical="center" wrapText="1"/>
    </xf>
    <xf numFmtId="0" fontId="2" fillId="0" borderId="21" xfId="0" applyFont="1" applyFill="1" applyBorder="1" applyAlignment="1">
      <alignment vertical="center"/>
    </xf>
    <xf numFmtId="0" fontId="2" fillId="0" borderId="23" xfId="0" applyFont="1" applyFill="1" applyBorder="1" applyAlignment="1">
      <alignment vertical="center"/>
    </xf>
    <xf numFmtId="0" fontId="2" fillId="0" borderId="6" xfId="0" applyFont="1" applyFill="1" applyBorder="1" applyAlignment="1">
      <alignment vertical="center"/>
    </xf>
    <xf numFmtId="0" fontId="26" fillId="2" borderId="30" xfId="0" applyFont="1" applyFill="1" applyBorder="1" applyAlignment="1">
      <alignment horizontal="center" vertical="center" wrapText="1"/>
    </xf>
    <xf numFmtId="0" fontId="26" fillId="2" borderId="31" xfId="0" applyFont="1" applyFill="1" applyBorder="1" applyAlignment="1">
      <alignment vertical="center" wrapText="1"/>
    </xf>
    <xf numFmtId="0" fontId="2" fillId="0" borderId="14" xfId="0" applyFont="1" applyFill="1" applyBorder="1" applyAlignment="1">
      <alignment vertical="center"/>
    </xf>
    <xf numFmtId="0" fontId="2" fillId="0" borderId="16" xfId="0" applyFont="1" applyFill="1" applyBorder="1" applyAlignment="1">
      <alignment vertical="center"/>
    </xf>
    <xf numFmtId="0" fontId="4" fillId="4" borderId="41" xfId="0" applyFont="1" applyFill="1" applyBorder="1" applyAlignment="1">
      <alignment vertical="center"/>
    </xf>
    <xf numFmtId="0" fontId="4" fillId="4" borderId="39" xfId="0" applyFont="1" applyFill="1" applyBorder="1" applyAlignment="1">
      <alignment vertical="center"/>
    </xf>
    <xf numFmtId="0" fontId="2" fillId="0" borderId="27" xfId="0" applyFont="1" applyFill="1" applyBorder="1" applyAlignment="1">
      <alignment horizontal="left" vertical="center" wrapText="1"/>
    </xf>
    <xf numFmtId="0" fontId="4" fillId="4" borderId="30" xfId="0" applyFont="1" applyFill="1" applyBorder="1" applyAlignment="1">
      <alignment vertical="center"/>
    </xf>
    <xf numFmtId="0" fontId="4" fillId="4" borderId="31" xfId="0" applyFont="1" applyFill="1" applyBorder="1" applyAlignment="1">
      <alignment vertical="center"/>
    </xf>
    <xf numFmtId="10" fontId="2" fillId="8" borderId="2" xfId="0" applyNumberFormat="1" applyFont="1" applyFill="1" applyBorder="1" applyAlignment="1">
      <alignment horizontal="center" vertical="center"/>
    </xf>
    <xf numFmtId="164" fontId="2" fillId="8" borderId="2" xfId="0" applyNumberFormat="1" applyFont="1" applyFill="1" applyBorder="1" applyAlignment="1">
      <alignment horizontal="center" vertical="center"/>
    </xf>
    <xf numFmtId="0" fontId="5" fillId="4" borderId="2" xfId="0" applyFont="1" applyFill="1" applyBorder="1" applyAlignment="1">
      <alignment horizontal="center" vertical="center"/>
    </xf>
    <xf numFmtId="10" fontId="5" fillId="4" borderId="2" xfId="0" applyNumberFormat="1" applyFont="1" applyFill="1" applyBorder="1" applyAlignment="1">
      <alignment horizontal="center" vertical="center"/>
    </xf>
    <xf numFmtId="0" fontId="15" fillId="0" borderId="19" xfId="0" applyFont="1" applyBorder="1" applyAlignment="1">
      <alignment horizontal="center" vertical="center"/>
    </xf>
    <xf numFmtId="0" fontId="15" fillId="0" borderId="26" xfId="0" applyFont="1" applyBorder="1" applyAlignment="1">
      <alignment horizontal="center" vertical="center"/>
    </xf>
    <xf numFmtId="0" fontId="4" fillId="0" borderId="4" xfId="0" applyFont="1" applyFill="1" applyBorder="1" applyAlignment="1">
      <alignment horizontal="center" vertical="center"/>
    </xf>
    <xf numFmtId="0" fontId="4" fillId="0" borderId="20" xfId="0" applyFont="1" applyBorder="1" applyAlignment="1">
      <alignment vertical="center"/>
    </xf>
    <xf numFmtId="0" fontId="2" fillId="0" borderId="2" xfId="0" applyFont="1" applyBorder="1" applyAlignment="1">
      <alignment vertical="center"/>
    </xf>
    <xf numFmtId="0" fontId="15" fillId="0" borderId="2" xfId="0" applyFont="1" applyBorder="1" applyAlignment="1">
      <alignment horizontal="center" vertical="center"/>
    </xf>
    <xf numFmtId="0" fontId="2" fillId="0" borderId="3" xfId="0" applyFont="1" applyFill="1" applyBorder="1" applyAlignment="1">
      <alignment vertical="center"/>
    </xf>
    <xf numFmtId="0" fontId="2" fillId="0" borderId="2" xfId="0" applyFont="1" applyFill="1" applyBorder="1" applyAlignment="1">
      <alignment horizontal="center" vertical="center"/>
    </xf>
    <xf numFmtId="0" fontId="5" fillId="2" borderId="5" xfId="0" applyFont="1" applyFill="1" applyBorder="1" applyAlignment="1">
      <alignment vertical="center"/>
    </xf>
    <xf numFmtId="164" fontId="4" fillId="0" borderId="9" xfId="0" applyNumberFormat="1" applyFont="1" applyBorder="1" applyAlignment="1">
      <alignment vertical="center"/>
    </xf>
    <xf numFmtId="164" fontId="4" fillId="0" borderId="6" xfId="0" applyNumberFormat="1" applyFont="1" applyBorder="1" applyAlignment="1">
      <alignment vertical="center"/>
    </xf>
    <xf numFmtId="164" fontId="4" fillId="0" borderId="2" xfId="0" applyNumberFormat="1" applyFont="1" applyBorder="1" applyAlignment="1">
      <alignment vertical="center"/>
    </xf>
    <xf numFmtId="164" fontId="4" fillId="0" borderId="2" xfId="0" applyNumberFormat="1" applyFont="1" applyFill="1" applyBorder="1" applyAlignment="1">
      <alignment vertical="center"/>
    </xf>
    <xf numFmtId="164" fontId="4" fillId="0" borderId="4" xfId="0" applyNumberFormat="1" applyFont="1" applyBorder="1" applyAlignment="1">
      <alignment vertical="center"/>
    </xf>
    <xf numFmtId="164" fontId="4" fillId="5" borderId="2" xfId="0" applyNumberFormat="1" applyFont="1" applyFill="1" applyBorder="1" applyAlignment="1">
      <alignment vertical="center"/>
    </xf>
    <xf numFmtId="164" fontId="4" fillId="5" borderId="2" xfId="0" applyNumberFormat="1" applyFont="1" applyFill="1" applyBorder="1" applyAlignment="1">
      <alignment horizontal="right" vertical="center"/>
    </xf>
    <xf numFmtId="164" fontId="4" fillId="0" borderId="4" xfId="0" applyNumberFormat="1" applyFont="1" applyFill="1" applyBorder="1" applyAlignment="1">
      <alignment vertical="center"/>
    </xf>
    <xf numFmtId="164" fontId="4" fillId="0" borderId="0" xfId="0" applyNumberFormat="1" applyFont="1" applyBorder="1" applyAlignment="1">
      <alignment vertical="center"/>
    </xf>
    <xf numFmtId="9" fontId="4" fillId="0" borderId="0" xfId="0" applyNumberFormat="1" applyFont="1" applyAlignment="1">
      <alignment vertical="center"/>
    </xf>
    <xf numFmtId="10" fontId="4" fillId="0" borderId="0" xfId="0" applyNumberFormat="1" applyFont="1" applyAlignment="1">
      <alignment vertical="center"/>
    </xf>
    <xf numFmtId="9" fontId="2" fillId="0" borderId="0" xfId="0" applyNumberFormat="1" applyFont="1" applyAlignment="1">
      <alignment vertical="center"/>
    </xf>
    <xf numFmtId="3" fontId="4" fillId="0" borderId="2" xfId="0" applyNumberFormat="1" applyFont="1" applyBorder="1" applyAlignment="1">
      <alignment horizontal="center" vertical="center"/>
    </xf>
    <xf numFmtId="164" fontId="4" fillId="0" borderId="2" xfId="0" applyNumberFormat="1" applyFont="1" applyFill="1" applyBorder="1" applyAlignment="1">
      <alignment horizontal="right" vertical="center"/>
    </xf>
    <xf numFmtId="0" fontId="2" fillId="0" borderId="2" xfId="0" applyFont="1" applyBorder="1" applyAlignment="1">
      <alignment vertical="center"/>
    </xf>
    <xf numFmtId="0" fontId="4" fillId="4" borderId="2" xfId="0" applyFont="1" applyFill="1" applyBorder="1" applyAlignment="1">
      <alignment horizontal="center" vertical="center"/>
    </xf>
    <xf numFmtId="0" fontId="4" fillId="15" borderId="6" xfId="0" applyFont="1" applyFill="1" applyBorder="1" applyAlignment="1">
      <alignment vertical="center"/>
    </xf>
    <xf numFmtId="0" fontId="5" fillId="2" borderId="2" xfId="0" applyFont="1" applyFill="1" applyBorder="1" applyAlignment="1">
      <alignment vertical="center"/>
    </xf>
    <xf numFmtId="0" fontId="9" fillId="0" borderId="0" xfId="0" applyFont="1" applyAlignment="1">
      <alignment vertical="center"/>
    </xf>
    <xf numFmtId="0" fontId="2" fillId="0" borderId="6" xfId="0" applyFont="1" applyBorder="1" applyAlignment="1">
      <alignment vertical="center"/>
    </xf>
    <xf numFmtId="0" fontId="2" fillId="0" borderId="2" xfId="0" applyFont="1" applyBorder="1" applyAlignment="1">
      <alignment vertical="center"/>
    </xf>
    <xf numFmtId="0" fontId="10" fillId="7" borderId="3" xfId="0" applyFont="1" applyFill="1" applyBorder="1" applyAlignment="1">
      <alignment vertical="center"/>
    </xf>
    <xf numFmtId="0" fontId="10" fillId="7" borderId="5" xfId="0" applyFont="1" applyFill="1" applyBorder="1" applyAlignment="1">
      <alignment vertical="center"/>
    </xf>
    <xf numFmtId="0" fontId="10" fillId="7" borderId="4" xfId="0" applyFont="1" applyFill="1" applyBorder="1" applyAlignment="1">
      <alignment vertical="center"/>
    </xf>
    <xf numFmtId="0" fontId="2" fillId="0" borderId="3" xfId="0" applyFont="1" applyFill="1" applyBorder="1" applyAlignment="1">
      <alignment vertical="center"/>
    </xf>
    <xf numFmtId="0" fontId="2" fillId="0" borderId="5" xfId="0" applyFont="1" applyFill="1" applyBorder="1" applyAlignment="1">
      <alignment vertical="center"/>
    </xf>
    <xf numFmtId="0" fontId="2" fillId="0" borderId="4" xfId="0" applyFont="1" applyFill="1" applyBorder="1" applyAlignment="1">
      <alignment vertical="center"/>
    </xf>
    <xf numFmtId="0" fontId="6" fillId="3" borderId="3" xfId="0" applyFont="1" applyFill="1" applyBorder="1" applyAlignment="1">
      <alignment vertical="center"/>
    </xf>
    <xf numFmtId="0" fontId="6" fillId="3" borderId="5" xfId="0" applyFont="1" applyFill="1" applyBorder="1" applyAlignment="1">
      <alignment vertical="center"/>
    </xf>
    <xf numFmtId="0" fontId="6" fillId="3" borderId="4" xfId="0" applyFont="1" applyFill="1" applyBorder="1" applyAlignment="1">
      <alignment vertical="center"/>
    </xf>
    <xf numFmtId="0" fontId="6" fillId="13" borderId="3" xfId="0" applyFont="1" applyFill="1" applyBorder="1" applyAlignment="1">
      <alignment vertical="center"/>
    </xf>
    <xf numFmtId="0" fontId="6" fillId="13" borderId="5" xfId="0" applyFont="1" applyFill="1" applyBorder="1" applyAlignment="1">
      <alignment vertical="center"/>
    </xf>
    <xf numFmtId="0" fontId="6" fillId="13" borderId="4" xfId="0" applyFont="1" applyFill="1" applyBorder="1" applyAlignment="1">
      <alignment vertical="center"/>
    </xf>
    <xf numFmtId="0" fontId="2" fillId="2" borderId="0" xfId="0" applyFont="1" applyFill="1" applyBorder="1" applyAlignment="1">
      <alignment vertical="center"/>
    </xf>
    <xf numFmtId="9" fontId="4" fillId="2" borderId="2" xfId="0" applyNumberFormat="1" applyFont="1" applyFill="1" applyBorder="1" applyAlignment="1">
      <alignment vertical="center"/>
    </xf>
    <xf numFmtId="49" fontId="4" fillId="0" borderId="0" xfId="0" applyNumberFormat="1" applyFont="1" applyFill="1" applyBorder="1" applyAlignment="1">
      <alignment horizontal="center" vertical="center"/>
    </xf>
    <xf numFmtId="0" fontId="18" fillId="0" borderId="0" xfId="0" applyFont="1" applyFill="1" applyBorder="1" applyAlignment="1">
      <alignment horizontal="center" vertical="center"/>
    </xf>
    <xf numFmtId="0" fontId="8" fillId="0" borderId="0" xfId="0" applyFont="1" applyFill="1" applyBorder="1" applyAlignment="1">
      <alignment horizontal="center" vertical="center"/>
    </xf>
    <xf numFmtId="164" fontId="2" fillId="0" borderId="2" xfId="0" applyNumberFormat="1" applyFont="1" applyFill="1" applyBorder="1" applyAlignment="1">
      <alignment vertical="center"/>
    </xf>
    <xf numFmtId="10" fontId="28" fillId="3" borderId="2" xfId="0" applyNumberFormat="1" applyFont="1" applyFill="1" applyBorder="1" applyAlignment="1">
      <alignment horizontal="center" vertical="center"/>
    </xf>
    <xf numFmtId="10" fontId="28" fillId="0" borderId="2" xfId="0" applyNumberFormat="1" applyFont="1" applyBorder="1" applyAlignment="1">
      <alignment horizontal="center" vertical="center"/>
    </xf>
    <xf numFmtId="43" fontId="2" fillId="0" borderId="0" xfId="1" applyFont="1" applyFill="1" applyAlignment="1">
      <alignment vertical="center"/>
    </xf>
    <xf numFmtId="0" fontId="4" fillId="0" borderId="0" xfId="0" applyFont="1" applyFill="1" applyBorder="1" applyAlignment="1">
      <alignment vertical="center"/>
    </xf>
    <xf numFmtId="164" fontId="2" fillId="0" borderId="6" xfId="0" applyNumberFormat="1" applyFont="1" applyFill="1" applyBorder="1" applyAlignment="1">
      <alignment vertical="center"/>
    </xf>
    <xf numFmtId="164" fontId="13" fillId="0" borderId="2" xfId="0" applyNumberFormat="1" applyFont="1" applyFill="1" applyBorder="1" applyAlignment="1">
      <alignment vertical="center"/>
    </xf>
    <xf numFmtId="164" fontId="2" fillId="0" borderId="2" xfId="1" applyNumberFormat="1" applyFont="1" applyFill="1" applyBorder="1" applyAlignment="1">
      <alignment vertical="center"/>
    </xf>
    <xf numFmtId="164" fontId="2" fillId="5" borderId="2" xfId="0" applyNumberFormat="1" applyFont="1" applyFill="1" applyBorder="1" applyAlignment="1">
      <alignment vertical="center"/>
    </xf>
    <xf numFmtId="166" fontId="4" fillId="0" borderId="0" xfId="2" applyNumberFormat="1" applyFont="1" applyAlignment="1">
      <alignment vertical="center"/>
    </xf>
    <xf numFmtId="43" fontId="4" fillId="0" borderId="0" xfId="1" applyFont="1" applyFill="1" applyAlignment="1">
      <alignment vertical="center"/>
    </xf>
    <xf numFmtId="10" fontId="4" fillId="0" borderId="0" xfId="2" applyNumberFormat="1" applyFont="1" applyFill="1" applyAlignment="1">
      <alignment vertical="center"/>
    </xf>
    <xf numFmtId="0" fontId="14" fillId="0" borderId="0" xfId="0" applyFont="1" applyAlignment="1">
      <alignment vertical="center"/>
    </xf>
    <xf numFmtId="49" fontId="4" fillId="0" borderId="0" xfId="0" applyNumberFormat="1" applyFont="1" applyAlignment="1">
      <alignment vertical="center"/>
    </xf>
    <xf numFmtId="0" fontId="5" fillId="8" borderId="2" xfId="0" applyFont="1" applyFill="1" applyBorder="1" applyAlignment="1">
      <alignment horizontal="center" vertical="center" wrapText="1"/>
    </xf>
    <xf numFmtId="3" fontId="5" fillId="8" borderId="2" xfId="0" applyNumberFormat="1" applyFont="1" applyFill="1" applyBorder="1" applyAlignment="1">
      <alignment horizontal="right" vertical="center"/>
    </xf>
    <xf numFmtId="164" fontId="5" fillId="8" borderId="2" xfId="0" applyNumberFormat="1" applyFont="1" applyFill="1" applyBorder="1" applyAlignment="1">
      <alignment vertical="center"/>
    </xf>
    <xf numFmtId="0" fontId="4" fillId="8" borderId="2" xfId="0" applyFont="1" applyFill="1" applyBorder="1" applyAlignment="1">
      <alignment vertical="center"/>
    </xf>
    <xf numFmtId="164" fontId="4" fillId="8" borderId="2" xfId="0" applyNumberFormat="1" applyFont="1" applyFill="1" applyBorder="1" applyAlignment="1">
      <alignment vertical="center"/>
    </xf>
    <xf numFmtId="164" fontId="5" fillId="8" borderId="0" xfId="0" applyNumberFormat="1" applyFont="1" applyFill="1" applyAlignment="1">
      <alignment vertical="center"/>
    </xf>
    <xf numFmtId="164" fontId="20" fillId="8" borderId="2" xfId="0" applyNumberFormat="1" applyFont="1" applyFill="1" applyBorder="1" applyAlignment="1">
      <alignment vertical="center"/>
    </xf>
    <xf numFmtId="164" fontId="4" fillId="8" borderId="0" xfId="0" applyNumberFormat="1" applyFont="1" applyFill="1" applyAlignment="1">
      <alignment vertical="center"/>
    </xf>
    <xf numFmtId="8" fontId="5" fillId="8" borderId="2" xfId="0" applyNumberFormat="1" applyFont="1" applyFill="1" applyBorder="1" applyAlignment="1">
      <alignment vertical="center"/>
    </xf>
    <xf numFmtId="0" fontId="4" fillId="8" borderId="0" xfId="0" applyFont="1" applyFill="1" applyAlignment="1">
      <alignment vertical="center"/>
    </xf>
    <xf numFmtId="0" fontId="4" fillId="8" borderId="4" xfId="0" applyFont="1" applyFill="1" applyBorder="1" applyAlignment="1">
      <alignment vertical="center"/>
    </xf>
    <xf numFmtId="164" fontId="4" fillId="8" borderId="6" xfId="0" applyNumberFormat="1" applyFont="1" applyFill="1" applyBorder="1" applyAlignment="1">
      <alignment vertical="center"/>
    </xf>
    <xf numFmtId="164" fontId="9" fillId="8" borderId="2" xfId="0" applyNumberFormat="1" applyFont="1" applyFill="1" applyBorder="1" applyAlignment="1">
      <alignment vertical="center"/>
    </xf>
    <xf numFmtId="10" fontId="9" fillId="8" borderId="2" xfId="2" applyNumberFormat="1" applyFont="1" applyFill="1" applyBorder="1" applyAlignment="1">
      <alignment vertical="center"/>
    </xf>
    <xf numFmtId="10" fontId="4" fillId="8" borderId="2" xfId="0" applyNumberFormat="1" applyFont="1" applyFill="1" applyBorder="1" applyAlignment="1">
      <alignment vertical="center"/>
    </xf>
    <xf numFmtId="3" fontId="5" fillId="8" borderId="0" xfId="0" applyNumberFormat="1" applyFont="1" applyFill="1" applyAlignment="1">
      <alignment horizontal="right" vertical="center"/>
    </xf>
    <xf numFmtId="9" fontId="4" fillId="8" borderId="2" xfId="0" applyNumberFormat="1" applyFont="1" applyFill="1" applyBorder="1" applyAlignment="1">
      <alignment vertical="center"/>
    </xf>
    <xf numFmtId="164" fontId="4" fillId="8" borderId="4" xfId="0" applyNumberFormat="1" applyFont="1" applyFill="1" applyBorder="1" applyAlignment="1">
      <alignment vertical="center"/>
    </xf>
    <xf numFmtId="164" fontId="8" fillId="8" borderId="2" xfId="0" applyNumberFormat="1" applyFont="1" applyFill="1" applyBorder="1" applyAlignment="1">
      <alignment vertical="center"/>
    </xf>
    <xf numFmtId="164" fontId="5" fillId="8" borderId="7" xfId="0" applyNumberFormat="1" applyFont="1" applyFill="1" applyBorder="1" applyAlignment="1">
      <alignment vertical="center"/>
    </xf>
    <xf numFmtId="0" fontId="5" fillId="8" borderId="4" xfId="0" applyFont="1" applyFill="1" applyBorder="1" applyAlignment="1">
      <alignment vertical="center"/>
    </xf>
    <xf numFmtId="164" fontId="4" fillId="8" borderId="2" xfId="1" applyNumberFormat="1" applyFont="1" applyFill="1" applyBorder="1" applyAlignment="1">
      <alignment vertical="center"/>
    </xf>
    <xf numFmtId="0" fontId="4" fillId="8" borderId="12" xfId="0" applyFont="1" applyFill="1" applyBorder="1" applyAlignment="1">
      <alignment vertical="center"/>
    </xf>
    <xf numFmtId="10" fontId="2" fillId="0" borderId="0" xfId="0" applyNumberFormat="1" applyFont="1" applyFill="1" applyAlignment="1">
      <alignment vertical="center"/>
    </xf>
    <xf numFmtId="10" fontId="29" fillId="0" borderId="2" xfId="0" applyNumberFormat="1" applyFont="1" applyBorder="1" applyAlignment="1">
      <alignment horizontal="center" vertical="center"/>
    </xf>
    <xf numFmtId="164" fontId="14" fillId="8" borderId="2" xfId="0" applyNumberFormat="1" applyFont="1" applyFill="1" applyBorder="1" applyAlignment="1">
      <alignment vertical="center"/>
    </xf>
    <xf numFmtId="43" fontId="4" fillId="0" borderId="0" xfId="1" applyFont="1" applyAlignment="1">
      <alignment vertical="center"/>
    </xf>
    <xf numFmtId="43" fontId="2" fillId="0" borderId="0" xfId="1" applyFont="1" applyAlignment="1">
      <alignment vertical="center"/>
    </xf>
    <xf numFmtId="43" fontId="17" fillId="0" borderId="0" xfId="1" applyFont="1" applyAlignment="1">
      <alignment vertical="center"/>
    </xf>
    <xf numFmtId="43" fontId="30" fillId="0" borderId="0" xfId="1" applyFont="1" applyAlignment="1">
      <alignment vertical="center"/>
    </xf>
    <xf numFmtId="164" fontId="30" fillId="0" borderId="0" xfId="0" applyNumberFormat="1" applyFont="1" applyAlignment="1">
      <alignment vertical="center"/>
    </xf>
    <xf numFmtId="0" fontId="2" fillId="0" borderId="5" xfId="0" applyFont="1" applyFill="1" applyBorder="1" applyAlignment="1">
      <alignment horizontal="center" vertical="center"/>
    </xf>
    <xf numFmtId="0" fontId="2" fillId="0" borderId="4" xfId="0" applyFont="1" applyFill="1" applyBorder="1" applyAlignment="1">
      <alignment horizontal="center" vertical="center"/>
    </xf>
    <xf numFmtId="0" fontId="4" fillId="13" borderId="2" xfId="0" applyFont="1" applyFill="1" applyBorder="1" applyAlignment="1">
      <alignment vertical="center" wrapText="1"/>
    </xf>
    <xf numFmtId="0" fontId="4" fillId="3" borderId="2" xfId="0" applyFont="1" applyFill="1" applyBorder="1" applyAlignment="1">
      <alignment vertical="center" wrapText="1"/>
    </xf>
    <xf numFmtId="0" fontId="2" fillId="5" borderId="2" xfId="0" applyFont="1" applyFill="1" applyBorder="1" applyAlignment="1">
      <alignment vertical="center"/>
    </xf>
    <xf numFmtId="0" fontId="2" fillId="0" borderId="43" xfId="0" applyFont="1" applyFill="1" applyBorder="1" applyAlignment="1">
      <alignment vertical="center"/>
    </xf>
    <xf numFmtId="0" fontId="2" fillId="0" borderId="9" xfId="0" applyFont="1" applyFill="1" applyBorder="1" applyAlignment="1">
      <alignment vertical="center"/>
    </xf>
    <xf numFmtId="0" fontId="10" fillId="7" borderId="10" xfId="0" applyFont="1" applyFill="1" applyBorder="1" applyAlignment="1">
      <alignment vertical="center"/>
    </xf>
    <xf numFmtId="0" fontId="10" fillId="7" borderId="1" xfId="0" applyFont="1" applyFill="1" applyBorder="1" applyAlignment="1">
      <alignment vertical="center"/>
    </xf>
    <xf numFmtId="0" fontId="10" fillId="7" borderId="12" xfId="0" applyFont="1" applyFill="1" applyBorder="1" applyAlignment="1">
      <alignment vertical="center"/>
    </xf>
    <xf numFmtId="0" fontId="6" fillId="3" borderId="43" xfId="0" applyFont="1" applyFill="1" applyBorder="1" applyAlignment="1">
      <alignment vertical="center"/>
    </xf>
    <xf numFmtId="0" fontId="6" fillId="3" borderId="9" xfId="0" applyFont="1" applyFill="1" applyBorder="1" applyAlignment="1">
      <alignment vertical="center"/>
    </xf>
    <xf numFmtId="0" fontId="6" fillId="0" borderId="11" xfId="0" applyFont="1" applyFill="1" applyBorder="1" applyAlignment="1">
      <alignment vertical="center"/>
    </xf>
    <xf numFmtId="0" fontId="6" fillId="0" borderId="43" xfId="0" applyFont="1" applyFill="1" applyBorder="1" applyAlignment="1">
      <alignment vertical="center"/>
    </xf>
    <xf numFmtId="168" fontId="2" fillId="0" borderId="0" xfId="2" applyNumberFormat="1" applyFont="1" applyAlignment="1">
      <alignment vertical="center"/>
    </xf>
    <xf numFmtId="0" fontId="6" fillId="0" borderId="42" xfId="0" applyFont="1" applyFill="1" applyBorder="1" applyAlignment="1">
      <alignment vertical="center"/>
    </xf>
    <xf numFmtId="0" fontId="6" fillId="0" borderId="5" xfId="0" applyFont="1" applyFill="1" applyBorder="1" applyAlignment="1">
      <alignment vertical="center"/>
    </xf>
    <xf numFmtId="0" fontId="6" fillId="0" borderId="4" xfId="0" applyFont="1" applyFill="1" applyBorder="1" applyAlignment="1">
      <alignment vertical="center"/>
    </xf>
    <xf numFmtId="0" fontId="6" fillId="0" borderId="2" xfId="0" applyFont="1" applyFill="1" applyBorder="1" applyAlignment="1">
      <alignment vertical="center"/>
    </xf>
    <xf numFmtId="0" fontId="2" fillId="0" borderId="2" xfId="0" applyFont="1" applyBorder="1" applyAlignment="1">
      <alignment vertical="center"/>
    </xf>
    <xf numFmtId="0" fontId="2" fillId="0" borderId="0" xfId="0" applyFont="1" applyAlignment="1">
      <alignment horizontal="left" vertical="center"/>
    </xf>
    <xf numFmtId="9" fontId="4" fillId="0" borderId="0" xfId="0" applyNumberFormat="1" applyFont="1" applyAlignment="1">
      <alignment horizontal="left" vertical="center"/>
    </xf>
    <xf numFmtId="164" fontId="2" fillId="0" borderId="0" xfId="0" applyNumberFormat="1" applyFont="1" applyAlignment="1">
      <alignment horizontal="left" vertical="center"/>
    </xf>
    <xf numFmtId="10" fontId="4" fillId="0" borderId="0" xfId="0" applyNumberFormat="1" applyFont="1" applyAlignment="1">
      <alignment horizontal="left" vertical="center"/>
    </xf>
    <xf numFmtId="0" fontId="4" fillId="0" borderId="0" xfId="0" applyFont="1" applyAlignment="1">
      <alignment horizontal="left" vertical="center"/>
    </xf>
    <xf numFmtId="10" fontId="2" fillId="0" borderId="0" xfId="0" applyNumberFormat="1" applyFont="1" applyAlignment="1">
      <alignment horizontal="left" vertical="center"/>
    </xf>
    <xf numFmtId="164" fontId="2" fillId="8" borderId="2" xfId="0" applyNumberFormat="1" applyFont="1" applyFill="1" applyBorder="1" applyAlignment="1">
      <alignment vertical="center"/>
    </xf>
    <xf numFmtId="0" fontId="2" fillId="0" borderId="10" xfId="0" applyFont="1" applyBorder="1" applyAlignment="1">
      <alignment vertical="center"/>
    </xf>
    <xf numFmtId="0" fontId="2" fillId="0" borderId="7" xfId="0" applyFont="1" applyBorder="1" applyAlignment="1">
      <alignment vertical="center"/>
    </xf>
    <xf numFmtId="0" fontId="2" fillId="0" borderId="2" xfId="0" applyFont="1" applyBorder="1" applyAlignment="1">
      <alignment vertical="center"/>
    </xf>
    <xf numFmtId="0" fontId="4" fillId="0" borderId="28"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4" xfId="0" applyFont="1" applyFill="1" applyBorder="1" applyAlignment="1">
      <alignment horizontal="center" vertical="center"/>
    </xf>
    <xf numFmtId="0" fontId="4" fillId="4" borderId="17"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24"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18" xfId="0" applyFont="1" applyBorder="1" applyAlignment="1">
      <alignment vertical="center"/>
    </xf>
    <xf numFmtId="0" fontId="4" fillId="0" borderId="20" xfId="0" applyFont="1" applyBorder="1" applyAlignment="1">
      <alignment vertical="center"/>
    </xf>
    <xf numFmtId="0" fontId="4" fillId="4" borderId="18" xfId="0" applyFont="1" applyFill="1" applyBorder="1" applyAlignment="1">
      <alignment vertical="center"/>
    </xf>
    <xf numFmtId="0" fontId="4" fillId="4" borderId="20" xfId="0" applyFont="1" applyFill="1" applyBorder="1" applyAlignment="1">
      <alignment vertical="center"/>
    </xf>
    <xf numFmtId="0" fontId="4" fillId="4" borderId="25" xfId="0" applyFont="1" applyFill="1" applyBorder="1" applyAlignment="1">
      <alignment vertical="center"/>
    </xf>
    <xf numFmtId="0" fontId="4" fillId="0" borderId="25" xfId="0" applyFont="1" applyBorder="1" applyAlignment="1">
      <alignment vertical="center"/>
    </xf>
    <xf numFmtId="0" fontId="26" fillId="2" borderId="31" xfId="0" applyFont="1" applyFill="1" applyBorder="1" applyAlignment="1">
      <alignment vertical="center" wrapText="1"/>
    </xf>
    <xf numFmtId="0" fontId="26" fillId="2" borderId="32" xfId="0" applyFont="1" applyFill="1" applyBorder="1" applyAlignment="1">
      <alignment vertical="center" wrapText="1"/>
    </xf>
    <xf numFmtId="0" fontId="2" fillId="0" borderId="16" xfId="0" applyFont="1" applyBorder="1" applyAlignment="1">
      <alignment vertical="center"/>
    </xf>
    <xf numFmtId="0" fontId="2" fillId="0" borderId="33" xfId="0" applyFont="1" applyBorder="1" applyAlignment="1">
      <alignment vertical="center"/>
    </xf>
    <xf numFmtId="0" fontId="2" fillId="0" borderId="23" xfId="0" applyFont="1" applyBorder="1" applyAlignment="1">
      <alignment vertical="center"/>
    </xf>
    <xf numFmtId="0" fontId="2" fillId="0" borderId="35" xfId="0" applyFont="1" applyBorder="1" applyAlignment="1">
      <alignment vertical="center"/>
    </xf>
    <xf numFmtId="0" fontId="4" fillId="4" borderId="31" xfId="0" applyFont="1" applyFill="1" applyBorder="1" applyAlignment="1">
      <alignment vertical="center"/>
    </xf>
    <xf numFmtId="0" fontId="4" fillId="4" borderId="32" xfId="0" applyFont="1" applyFill="1" applyBorder="1" applyAlignment="1">
      <alignment vertical="center"/>
    </xf>
    <xf numFmtId="0" fontId="2" fillId="0" borderId="6" xfId="0" applyFont="1" applyBorder="1" applyAlignment="1">
      <alignment vertical="center"/>
    </xf>
    <xf numFmtId="0" fontId="2" fillId="0" borderId="40" xfId="0" applyFont="1" applyBorder="1" applyAlignment="1">
      <alignment vertical="center"/>
    </xf>
    <xf numFmtId="0" fontId="2" fillId="0" borderId="2" xfId="0" applyFont="1" applyBorder="1" applyAlignment="1">
      <alignment vertical="center"/>
    </xf>
    <xf numFmtId="0" fontId="2" fillId="0" borderId="34" xfId="0" applyFont="1" applyBorder="1" applyAlignment="1">
      <alignment vertical="center"/>
    </xf>
    <xf numFmtId="0" fontId="4" fillId="4" borderId="39" xfId="0" applyFont="1" applyFill="1" applyBorder="1" applyAlignment="1">
      <alignment vertical="center"/>
    </xf>
    <xf numFmtId="0" fontId="4" fillId="4" borderId="2" xfId="0" applyFont="1" applyFill="1" applyBorder="1" applyAlignment="1">
      <alignment vertical="center"/>
    </xf>
    <xf numFmtId="0" fontId="5" fillId="2" borderId="3" xfId="0" applyFont="1" applyFill="1" applyBorder="1" applyAlignment="1">
      <alignment vertical="center"/>
    </xf>
    <xf numFmtId="0" fontId="5" fillId="2" borderId="4" xfId="0" applyFont="1" applyFill="1" applyBorder="1" applyAlignment="1">
      <alignment vertical="center"/>
    </xf>
    <xf numFmtId="0" fontId="5" fillId="2" borderId="10" xfId="0" applyFont="1" applyFill="1" applyBorder="1" applyAlignment="1">
      <alignment vertical="center"/>
    </xf>
    <xf numFmtId="0" fontId="5" fillId="2" borderId="12" xfId="0" applyFont="1" applyFill="1" applyBorder="1" applyAlignment="1">
      <alignment vertical="center"/>
    </xf>
    <xf numFmtId="0" fontId="5" fillId="2" borderId="11" xfId="0" applyFont="1" applyFill="1" applyBorder="1" applyAlignment="1">
      <alignment vertical="center"/>
    </xf>
    <xf numFmtId="0" fontId="5" fillId="2" borderId="9" xfId="0" applyFont="1" applyFill="1" applyBorder="1" applyAlignment="1">
      <alignment vertical="center"/>
    </xf>
    <xf numFmtId="0" fontId="5" fillId="4" borderId="2" xfId="0" applyFont="1" applyFill="1" applyBorder="1" applyAlignment="1">
      <alignment vertical="center"/>
    </xf>
    <xf numFmtId="0" fontId="4" fillId="4" borderId="3" xfId="0" applyFont="1" applyFill="1" applyBorder="1" applyAlignment="1">
      <alignment vertical="center"/>
    </xf>
    <xf numFmtId="0" fontId="4" fillId="4" borderId="4" xfId="0" applyFont="1" applyFill="1" applyBorder="1" applyAlignment="1">
      <alignment vertical="center"/>
    </xf>
    <xf numFmtId="0" fontId="4" fillId="0" borderId="0" xfId="0" applyFont="1" applyAlignment="1">
      <alignment horizontal="left" vertical="center"/>
    </xf>
    <xf numFmtId="0" fontId="4" fillId="0" borderId="0" xfId="0" applyFont="1" applyAlignment="1">
      <alignment horizontal="center" vertical="center" wrapText="1"/>
    </xf>
    <xf numFmtId="0" fontId="2" fillId="0" borderId="3"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4" xfId="0" applyFont="1" applyFill="1" applyBorder="1" applyAlignment="1">
      <alignment horizontal="left" vertical="center" wrapText="1"/>
    </xf>
    <xf numFmtId="0" fontId="4" fillId="4" borderId="2" xfId="0" applyFont="1" applyFill="1" applyBorder="1" applyAlignment="1">
      <alignment horizontal="center" vertical="center"/>
    </xf>
    <xf numFmtId="0" fontId="2" fillId="4" borderId="2" xfId="0" applyFont="1" applyFill="1" applyBorder="1" applyAlignment="1">
      <alignment horizontal="center" vertical="center"/>
    </xf>
    <xf numFmtId="0" fontId="4" fillId="13" borderId="7" xfId="0" applyFont="1" applyFill="1" applyBorder="1" applyAlignment="1">
      <alignment horizontal="center" vertical="center" wrapText="1"/>
    </xf>
    <xf numFmtId="0" fontId="4" fillId="1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2" xfId="0" applyFont="1" applyBorder="1" applyAlignment="1">
      <alignment vertical="center"/>
    </xf>
    <xf numFmtId="0" fontId="9" fillId="0" borderId="0" xfId="0" applyFont="1" applyAlignment="1">
      <alignment vertical="center"/>
    </xf>
    <xf numFmtId="0" fontId="9" fillId="0" borderId="0" xfId="0" applyFont="1" applyFill="1" applyAlignment="1">
      <alignment vertical="center"/>
    </xf>
    <xf numFmtId="0" fontId="5" fillId="2" borderId="5" xfId="0" applyFont="1" applyFill="1" applyBorder="1" applyAlignment="1">
      <alignment vertical="center"/>
    </xf>
    <xf numFmtId="0" fontId="5" fillId="2" borderId="2" xfId="0" applyFont="1" applyFill="1" applyBorder="1" applyAlignment="1">
      <alignment vertical="center"/>
    </xf>
    <xf numFmtId="0" fontId="5" fillId="15" borderId="7" xfId="0" applyFont="1" applyFill="1" applyBorder="1" applyAlignment="1">
      <alignment horizontal="center" vertical="center" wrapText="1"/>
    </xf>
    <xf numFmtId="0" fontId="5" fillId="15" borderId="6" xfId="0" applyFont="1" applyFill="1" applyBorder="1" applyAlignment="1">
      <alignment horizontal="center" vertical="center" wrapText="1"/>
    </xf>
    <xf numFmtId="0" fontId="5" fillId="8" borderId="7" xfId="0" applyFont="1" applyFill="1" applyBorder="1" applyAlignment="1">
      <alignment horizontal="center" vertical="center" wrapText="1"/>
    </xf>
    <xf numFmtId="0" fontId="5" fillId="8" borderId="6" xfId="0" applyFont="1" applyFill="1" applyBorder="1" applyAlignment="1">
      <alignment horizontal="center" vertical="center" wrapText="1"/>
    </xf>
    <xf numFmtId="0" fontId="4" fillId="15" borderId="7" xfId="0" applyFont="1" applyFill="1" applyBorder="1" applyAlignment="1">
      <alignment vertical="center"/>
    </xf>
    <xf numFmtId="0" fontId="4" fillId="15" borderId="6" xfId="0" applyFont="1" applyFill="1" applyBorder="1" applyAlignment="1">
      <alignment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12" fillId="9" borderId="0" xfId="0" applyFont="1" applyFill="1" applyBorder="1" applyAlignment="1">
      <alignment horizontal="left" vertical="center" wrapText="1"/>
    </xf>
    <xf numFmtId="0" fontId="7" fillId="0" borderId="0" xfId="0" applyFont="1" applyAlignment="1">
      <alignment horizontal="center" vertical="center"/>
    </xf>
    <xf numFmtId="0" fontId="5" fillId="2" borderId="3" xfId="0" applyFont="1" applyFill="1" applyBorder="1" applyAlignment="1">
      <alignment horizontal="left" vertical="center"/>
    </xf>
    <xf numFmtId="0" fontId="5" fillId="2" borderId="4" xfId="0" applyFont="1" applyFill="1" applyBorder="1" applyAlignment="1">
      <alignment horizontal="left" vertical="center"/>
    </xf>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CC9900"/>
      <color rgb="FFFFFF99"/>
      <color rgb="FF93FFFF"/>
      <color rgb="FFFFFFD1"/>
      <color rgb="FFEAEAEA"/>
      <color rgb="FFCCCC00"/>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2</xdr:col>
      <xdr:colOff>0</xdr:colOff>
      <xdr:row>97</xdr:row>
      <xdr:rowOff>19050</xdr:rowOff>
    </xdr:from>
    <xdr:ext cx="184731" cy="264560"/>
    <xdr:sp macro="" textlink="">
      <xdr:nvSpPr>
        <xdr:cNvPr id="3" name="TextBox 2">
          <a:extLst>
            <a:ext uri="{FF2B5EF4-FFF2-40B4-BE49-F238E27FC236}">
              <a16:creationId xmlns:a16="http://schemas.microsoft.com/office/drawing/2014/main" id="{04F5E962-669D-4C44-8D3D-D940BF2ED3DD}"/>
            </a:ext>
          </a:extLst>
        </xdr:cNvPr>
        <xdr:cNvSpPr txBox="1"/>
      </xdr:nvSpPr>
      <xdr:spPr>
        <a:xfrm>
          <a:off x="8810625" y="2397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8</xdr:col>
      <xdr:colOff>28575</xdr:colOff>
      <xdr:row>121</xdr:row>
      <xdr:rowOff>19050</xdr:rowOff>
    </xdr:from>
    <xdr:ext cx="184731" cy="264560"/>
    <xdr:sp macro="" textlink="">
      <xdr:nvSpPr>
        <xdr:cNvPr id="2" name="TextBox 1">
          <a:extLst>
            <a:ext uri="{FF2B5EF4-FFF2-40B4-BE49-F238E27FC236}">
              <a16:creationId xmlns:a16="http://schemas.microsoft.com/office/drawing/2014/main" id="{0F75144C-25DA-4D00-9218-0ED273538E9F}"/>
            </a:ext>
          </a:extLst>
        </xdr:cNvPr>
        <xdr:cNvSpPr txBox="1"/>
      </xdr:nvSpPr>
      <xdr:spPr>
        <a:xfrm>
          <a:off x="854392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xdr:col>
      <xdr:colOff>0</xdr:colOff>
      <xdr:row>79</xdr:row>
      <xdr:rowOff>19050</xdr:rowOff>
    </xdr:from>
    <xdr:ext cx="184731" cy="264560"/>
    <xdr:sp macro="" textlink="">
      <xdr:nvSpPr>
        <xdr:cNvPr id="2" name="TextBox 1">
          <a:extLst>
            <a:ext uri="{FF2B5EF4-FFF2-40B4-BE49-F238E27FC236}">
              <a16:creationId xmlns:a16="http://schemas.microsoft.com/office/drawing/2014/main" id="{1CE28C16-94B1-4F77-AA05-7FD8C080E4A7}"/>
            </a:ext>
          </a:extLst>
        </xdr:cNvPr>
        <xdr:cNvSpPr txBox="1"/>
      </xdr:nvSpPr>
      <xdr:spPr>
        <a:xfrm>
          <a:off x="3076575" y="15792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79</xdr:row>
      <xdr:rowOff>19050</xdr:rowOff>
    </xdr:from>
    <xdr:ext cx="184731" cy="264560"/>
    <xdr:sp macro="" textlink="">
      <xdr:nvSpPr>
        <xdr:cNvPr id="3" name="TextBox 2">
          <a:extLst>
            <a:ext uri="{FF2B5EF4-FFF2-40B4-BE49-F238E27FC236}">
              <a16:creationId xmlns:a16="http://schemas.microsoft.com/office/drawing/2014/main" id="{BF083189-8151-4038-8E56-9182B7A17F58}"/>
            </a:ext>
          </a:extLst>
        </xdr:cNvPr>
        <xdr:cNvSpPr txBox="1"/>
      </xdr:nvSpPr>
      <xdr:spPr>
        <a:xfrm>
          <a:off x="3076575" y="16621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79</xdr:row>
      <xdr:rowOff>19050</xdr:rowOff>
    </xdr:from>
    <xdr:ext cx="184731" cy="264560"/>
    <xdr:sp macro="" textlink="">
      <xdr:nvSpPr>
        <xdr:cNvPr id="4" name="TextBox 3">
          <a:extLst>
            <a:ext uri="{FF2B5EF4-FFF2-40B4-BE49-F238E27FC236}">
              <a16:creationId xmlns:a16="http://schemas.microsoft.com/office/drawing/2014/main" id="{3E3C3B04-665D-4CB6-ABF9-573F19DDF8AE}"/>
            </a:ext>
          </a:extLst>
        </xdr:cNvPr>
        <xdr:cNvSpPr txBox="1"/>
      </xdr:nvSpPr>
      <xdr:spPr>
        <a:xfrm>
          <a:off x="3076575" y="16621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6</xdr:col>
      <xdr:colOff>0</xdr:colOff>
      <xdr:row>79</xdr:row>
      <xdr:rowOff>19050</xdr:rowOff>
    </xdr:from>
    <xdr:ext cx="184731" cy="264560"/>
    <xdr:sp macro="" textlink="">
      <xdr:nvSpPr>
        <xdr:cNvPr id="5" name="TextBox 4">
          <a:extLst>
            <a:ext uri="{FF2B5EF4-FFF2-40B4-BE49-F238E27FC236}">
              <a16:creationId xmlns:a16="http://schemas.microsoft.com/office/drawing/2014/main" id="{D37C6A6A-D5DC-45D2-ADA8-6F603DA2761D}"/>
            </a:ext>
          </a:extLst>
        </xdr:cNvPr>
        <xdr:cNvSpPr txBox="1"/>
      </xdr:nvSpPr>
      <xdr:spPr>
        <a:xfrm>
          <a:off x="3076575" y="16621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7</xdr:col>
      <xdr:colOff>0</xdr:colOff>
      <xdr:row>79</xdr:row>
      <xdr:rowOff>19050</xdr:rowOff>
    </xdr:from>
    <xdr:ext cx="184731" cy="264560"/>
    <xdr:sp macro="" textlink="">
      <xdr:nvSpPr>
        <xdr:cNvPr id="6" name="TextBox 5">
          <a:extLst>
            <a:ext uri="{FF2B5EF4-FFF2-40B4-BE49-F238E27FC236}">
              <a16:creationId xmlns:a16="http://schemas.microsoft.com/office/drawing/2014/main" id="{44D39371-B2D8-4250-9353-88482DB08AE6}"/>
            </a:ext>
          </a:extLst>
        </xdr:cNvPr>
        <xdr:cNvSpPr txBox="1"/>
      </xdr:nvSpPr>
      <xdr:spPr>
        <a:xfrm>
          <a:off x="3076575" y="16621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8</xdr:col>
      <xdr:colOff>0</xdr:colOff>
      <xdr:row>79</xdr:row>
      <xdr:rowOff>19050</xdr:rowOff>
    </xdr:from>
    <xdr:ext cx="184731" cy="264560"/>
    <xdr:sp macro="" textlink="">
      <xdr:nvSpPr>
        <xdr:cNvPr id="7" name="TextBox 6">
          <a:extLst>
            <a:ext uri="{FF2B5EF4-FFF2-40B4-BE49-F238E27FC236}">
              <a16:creationId xmlns:a16="http://schemas.microsoft.com/office/drawing/2014/main" id="{8E609F81-3371-4A72-B5B0-6FD3386D94D3}"/>
            </a:ext>
          </a:extLst>
        </xdr:cNvPr>
        <xdr:cNvSpPr txBox="1"/>
      </xdr:nvSpPr>
      <xdr:spPr>
        <a:xfrm>
          <a:off x="3076575" y="16621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0</xdr:colOff>
      <xdr:row>79</xdr:row>
      <xdr:rowOff>19050</xdr:rowOff>
    </xdr:from>
    <xdr:ext cx="184731" cy="264560"/>
    <xdr:sp macro="" textlink="">
      <xdr:nvSpPr>
        <xdr:cNvPr id="8" name="TextBox 7">
          <a:extLst>
            <a:ext uri="{FF2B5EF4-FFF2-40B4-BE49-F238E27FC236}">
              <a16:creationId xmlns:a16="http://schemas.microsoft.com/office/drawing/2014/main" id="{1C147F37-E429-4E32-836E-8E41E9963FD8}"/>
            </a:ext>
          </a:extLst>
        </xdr:cNvPr>
        <xdr:cNvSpPr txBox="1"/>
      </xdr:nvSpPr>
      <xdr:spPr>
        <a:xfrm>
          <a:off x="3076575" y="16621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10</xdr:col>
      <xdr:colOff>0</xdr:colOff>
      <xdr:row>79</xdr:row>
      <xdr:rowOff>19050</xdr:rowOff>
    </xdr:from>
    <xdr:ext cx="184731" cy="264560"/>
    <xdr:sp macro="" textlink="">
      <xdr:nvSpPr>
        <xdr:cNvPr id="9" name="TextBox 8">
          <a:extLst>
            <a:ext uri="{FF2B5EF4-FFF2-40B4-BE49-F238E27FC236}">
              <a16:creationId xmlns:a16="http://schemas.microsoft.com/office/drawing/2014/main" id="{2074D1F7-9F34-4F69-9ED5-6ADE3B68FAF5}"/>
            </a:ext>
          </a:extLst>
        </xdr:cNvPr>
        <xdr:cNvSpPr txBox="1"/>
      </xdr:nvSpPr>
      <xdr:spPr>
        <a:xfrm>
          <a:off x="3076575" y="16621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997200-C61C-47AA-A067-1C08EC53BCFB}">
  <dimension ref="A1:C36"/>
  <sheetViews>
    <sheetView showGridLines="0" workbookViewId="0">
      <selection activeCell="C8" sqref="C8"/>
    </sheetView>
  </sheetViews>
  <sheetFormatPr defaultRowHeight="12.75" x14ac:dyDescent="0.2"/>
  <cols>
    <col min="1" max="1" width="6.7109375" style="2" customWidth="1"/>
    <col min="2" max="2" width="80.7109375" style="2" customWidth="1"/>
    <col min="3" max="16384" width="9.140625" style="2"/>
  </cols>
  <sheetData>
    <row r="1" spans="1:3" ht="20.100000000000001" customHeight="1" x14ac:dyDescent="0.2">
      <c r="A1" s="5" t="s">
        <v>0</v>
      </c>
    </row>
    <row r="2" spans="1:3" ht="20.100000000000001" customHeight="1" x14ac:dyDescent="0.2">
      <c r="A2" s="81" t="s">
        <v>206</v>
      </c>
    </row>
    <row r="3" spans="1:3" ht="20.100000000000001" customHeight="1" x14ac:dyDescent="0.2">
      <c r="C3" s="30"/>
    </row>
    <row r="4" spans="1:3" ht="69.95" customHeight="1" x14ac:dyDescent="0.2">
      <c r="A4" s="170">
        <v>1</v>
      </c>
      <c r="B4" s="171" t="s">
        <v>212</v>
      </c>
      <c r="C4" s="238">
        <f>('Condensed Budget View'!G18-'Condensed Budget View'!G28)/'Condensed Budget View'!G18</f>
        <v>-1.7318458856367621E-2</v>
      </c>
    </row>
    <row r="5" spans="1:3" ht="69.95" customHeight="1" x14ac:dyDescent="0.2">
      <c r="A5" s="32">
        <v>2</v>
      </c>
      <c r="B5" s="169" t="s">
        <v>207</v>
      </c>
      <c r="C5" s="239">
        <f>'Condensed Budget View'!G63+0.0001</f>
        <v>0.12002312224620836</v>
      </c>
    </row>
    <row r="6" spans="1:3" ht="69.95" customHeight="1" x14ac:dyDescent="0.2">
      <c r="A6" s="170">
        <v>3</v>
      </c>
      <c r="B6" s="171" t="s">
        <v>210</v>
      </c>
      <c r="C6" s="238">
        <f>'Condensed Budget View'!G64</f>
        <v>5.000000000000001E-2</v>
      </c>
    </row>
    <row r="7" spans="1:3" ht="69.95" customHeight="1" x14ac:dyDescent="0.2">
      <c r="A7" s="32">
        <v>4</v>
      </c>
      <c r="B7" s="169" t="s">
        <v>209</v>
      </c>
      <c r="C7" s="239">
        <f>'Condensed Budget View'!G66</f>
        <v>9.9405597645970262E-2</v>
      </c>
    </row>
    <row r="8" spans="1:3" ht="69.95" customHeight="1" x14ac:dyDescent="0.2">
      <c r="A8" s="170">
        <v>5</v>
      </c>
      <c r="B8" s="171" t="s">
        <v>208</v>
      </c>
      <c r="C8" s="238">
        <f>'Condensed Budget View'!G65</f>
        <v>7.4951951403880224E-2</v>
      </c>
    </row>
    <row r="9" spans="1:3" ht="69.95" customHeight="1" x14ac:dyDescent="0.2">
      <c r="A9" s="32">
        <v>6</v>
      </c>
      <c r="B9" s="169" t="s">
        <v>211</v>
      </c>
      <c r="C9" s="239">
        <f>'Condensed Budget View'!G67</f>
        <v>0.21282279216743374</v>
      </c>
    </row>
    <row r="10" spans="1:3" ht="39.950000000000003" customHeight="1" x14ac:dyDescent="0.2"/>
    <row r="11" spans="1:3" ht="39.950000000000003" customHeight="1" x14ac:dyDescent="0.2"/>
    <row r="12" spans="1:3" ht="39.950000000000003" customHeight="1" x14ac:dyDescent="0.2"/>
    <row r="13" spans="1:3" ht="20.100000000000001" customHeight="1" x14ac:dyDescent="0.2"/>
    <row r="14" spans="1:3" ht="20.100000000000001" customHeight="1" x14ac:dyDescent="0.2"/>
    <row r="15" spans="1:3" ht="20.100000000000001" customHeight="1" x14ac:dyDescent="0.2"/>
    <row r="16" spans="1:3" ht="20.100000000000001" customHeight="1" x14ac:dyDescent="0.2"/>
    <row r="17" ht="20.100000000000001" customHeight="1" x14ac:dyDescent="0.2"/>
    <row r="18" ht="20.100000000000001" customHeight="1" x14ac:dyDescent="0.2"/>
    <row r="19" ht="20.100000000000001" customHeight="1" x14ac:dyDescent="0.2"/>
    <row r="20" ht="20.100000000000001" customHeight="1" x14ac:dyDescent="0.2"/>
    <row r="21" ht="20.100000000000001" customHeight="1" x14ac:dyDescent="0.2"/>
    <row r="22" ht="20.100000000000001" customHeight="1" x14ac:dyDescent="0.2"/>
    <row r="23" ht="20.100000000000001" customHeight="1" x14ac:dyDescent="0.2"/>
    <row r="24" ht="20.100000000000001" customHeight="1" x14ac:dyDescent="0.2"/>
    <row r="25" ht="20.100000000000001" customHeight="1" x14ac:dyDescent="0.2"/>
    <row r="26" ht="20.100000000000001" customHeight="1" x14ac:dyDescent="0.2"/>
    <row r="27" ht="20.100000000000001" customHeight="1" x14ac:dyDescent="0.2"/>
    <row r="28" ht="20.100000000000001" customHeight="1" x14ac:dyDescent="0.2"/>
    <row r="29" ht="20.100000000000001" customHeight="1" x14ac:dyDescent="0.2"/>
    <row r="30" ht="20.100000000000001" customHeight="1" x14ac:dyDescent="0.2"/>
    <row r="31" ht="20.100000000000001" customHeight="1" x14ac:dyDescent="0.2"/>
    <row r="32" ht="20.100000000000001" customHeight="1" x14ac:dyDescent="0.2"/>
    <row r="33" ht="20.100000000000001" customHeight="1" x14ac:dyDescent="0.2"/>
    <row r="34" ht="20.100000000000001" customHeight="1" x14ac:dyDescent="0.2"/>
    <row r="35" ht="20.100000000000001" customHeight="1" x14ac:dyDescent="0.2"/>
    <row r="36" ht="20.100000000000001" customHeight="1" x14ac:dyDescent="0.2"/>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826F7-8147-4254-914A-B6DDCB9C3ACA}">
  <dimension ref="A1:E75"/>
  <sheetViews>
    <sheetView topLeftCell="A47" workbookViewId="0">
      <selection activeCell="A54" sqref="A54"/>
    </sheetView>
  </sheetViews>
  <sheetFormatPr defaultRowHeight="12.75" x14ac:dyDescent="0.2"/>
  <cols>
    <col min="1" max="1" width="12.7109375" style="2" customWidth="1"/>
    <col min="2" max="2" width="48.7109375" style="2" customWidth="1"/>
    <col min="3" max="3" width="160.7109375" style="2" customWidth="1"/>
    <col min="4" max="4" width="16.7109375" style="2" customWidth="1"/>
    <col min="5" max="5" width="24.7109375" style="2" customWidth="1"/>
    <col min="6" max="244" width="9.140625" style="2"/>
    <col min="245" max="245" width="4.7109375" style="2" customWidth="1"/>
    <col min="246" max="246" width="26.7109375" style="2" customWidth="1"/>
    <col min="247" max="254" width="16.7109375" style="2" customWidth="1"/>
    <col min="255" max="500" width="9.140625" style="2"/>
    <col min="501" max="501" width="4.7109375" style="2" customWidth="1"/>
    <col min="502" max="502" width="26.7109375" style="2" customWidth="1"/>
    <col min="503" max="510" width="16.7109375" style="2" customWidth="1"/>
    <col min="511" max="756" width="9.140625" style="2"/>
    <col min="757" max="757" width="4.7109375" style="2" customWidth="1"/>
    <col min="758" max="758" width="26.7109375" style="2" customWidth="1"/>
    <col min="759" max="766" width="16.7109375" style="2" customWidth="1"/>
    <col min="767" max="1012" width="9.140625" style="2"/>
    <col min="1013" max="1013" width="4.7109375" style="2" customWidth="1"/>
    <col min="1014" max="1014" width="26.7109375" style="2" customWidth="1"/>
    <col min="1015" max="1022" width="16.7109375" style="2" customWidth="1"/>
    <col min="1023" max="1268" width="9.140625" style="2"/>
    <col min="1269" max="1269" width="4.7109375" style="2" customWidth="1"/>
    <col min="1270" max="1270" width="26.7109375" style="2" customWidth="1"/>
    <col min="1271" max="1278" width="16.7109375" style="2" customWidth="1"/>
    <col min="1279" max="1524" width="9.140625" style="2"/>
    <col min="1525" max="1525" width="4.7109375" style="2" customWidth="1"/>
    <col min="1526" max="1526" width="26.7109375" style="2" customWidth="1"/>
    <col min="1527" max="1534" width="16.7109375" style="2" customWidth="1"/>
    <col min="1535" max="1780" width="9.140625" style="2"/>
    <col min="1781" max="1781" width="4.7109375" style="2" customWidth="1"/>
    <col min="1782" max="1782" width="26.7109375" style="2" customWidth="1"/>
    <col min="1783" max="1790" width="16.7109375" style="2" customWidth="1"/>
    <col min="1791" max="2036" width="9.140625" style="2"/>
    <col min="2037" max="2037" width="4.7109375" style="2" customWidth="1"/>
    <col min="2038" max="2038" width="26.7109375" style="2" customWidth="1"/>
    <col min="2039" max="2046" width="16.7109375" style="2" customWidth="1"/>
    <col min="2047" max="2292" width="9.140625" style="2"/>
    <col min="2293" max="2293" width="4.7109375" style="2" customWidth="1"/>
    <col min="2294" max="2294" width="26.7109375" style="2" customWidth="1"/>
    <col min="2295" max="2302" width="16.7109375" style="2" customWidth="1"/>
    <col min="2303" max="2548" width="9.140625" style="2"/>
    <col min="2549" max="2549" width="4.7109375" style="2" customWidth="1"/>
    <col min="2550" max="2550" width="26.7109375" style="2" customWidth="1"/>
    <col min="2551" max="2558" width="16.7109375" style="2" customWidth="1"/>
    <col min="2559" max="2804" width="9.140625" style="2"/>
    <col min="2805" max="2805" width="4.7109375" style="2" customWidth="1"/>
    <col min="2806" max="2806" width="26.7109375" style="2" customWidth="1"/>
    <col min="2807" max="2814" width="16.7109375" style="2" customWidth="1"/>
    <col min="2815" max="3060" width="9.140625" style="2"/>
    <col min="3061" max="3061" width="4.7109375" style="2" customWidth="1"/>
    <col min="3062" max="3062" width="26.7109375" style="2" customWidth="1"/>
    <col min="3063" max="3070" width="16.7109375" style="2" customWidth="1"/>
    <col min="3071" max="3316" width="9.140625" style="2"/>
    <col min="3317" max="3317" width="4.7109375" style="2" customWidth="1"/>
    <col min="3318" max="3318" width="26.7109375" style="2" customWidth="1"/>
    <col min="3319" max="3326" width="16.7109375" style="2" customWidth="1"/>
    <col min="3327" max="3572" width="9.140625" style="2"/>
    <col min="3573" max="3573" width="4.7109375" style="2" customWidth="1"/>
    <col min="3574" max="3574" width="26.7109375" style="2" customWidth="1"/>
    <col min="3575" max="3582" width="16.7109375" style="2" customWidth="1"/>
    <col min="3583" max="3828" width="9.140625" style="2"/>
    <col min="3829" max="3829" width="4.7109375" style="2" customWidth="1"/>
    <col min="3830" max="3830" width="26.7109375" style="2" customWidth="1"/>
    <col min="3831" max="3838" width="16.7109375" style="2" customWidth="1"/>
    <col min="3839" max="4084" width="9.140625" style="2"/>
    <col min="4085" max="4085" width="4.7109375" style="2" customWidth="1"/>
    <col min="4086" max="4086" width="26.7109375" style="2" customWidth="1"/>
    <col min="4087" max="4094" width="16.7109375" style="2" customWidth="1"/>
    <col min="4095" max="4340" width="9.140625" style="2"/>
    <col min="4341" max="4341" width="4.7109375" style="2" customWidth="1"/>
    <col min="4342" max="4342" width="26.7109375" style="2" customWidth="1"/>
    <col min="4343" max="4350" width="16.7109375" style="2" customWidth="1"/>
    <col min="4351" max="4596" width="9.140625" style="2"/>
    <col min="4597" max="4597" width="4.7109375" style="2" customWidth="1"/>
    <col min="4598" max="4598" width="26.7109375" style="2" customWidth="1"/>
    <col min="4599" max="4606" width="16.7109375" style="2" customWidth="1"/>
    <col min="4607" max="4852" width="9.140625" style="2"/>
    <col min="4853" max="4853" width="4.7109375" style="2" customWidth="1"/>
    <col min="4854" max="4854" width="26.7109375" style="2" customWidth="1"/>
    <col min="4855" max="4862" width="16.7109375" style="2" customWidth="1"/>
    <col min="4863" max="5108" width="9.140625" style="2"/>
    <col min="5109" max="5109" width="4.7109375" style="2" customWidth="1"/>
    <col min="5110" max="5110" width="26.7109375" style="2" customWidth="1"/>
    <col min="5111" max="5118" width="16.7109375" style="2" customWidth="1"/>
    <col min="5119" max="5364" width="9.140625" style="2"/>
    <col min="5365" max="5365" width="4.7109375" style="2" customWidth="1"/>
    <col min="5366" max="5366" width="26.7109375" style="2" customWidth="1"/>
    <col min="5367" max="5374" width="16.7109375" style="2" customWidth="1"/>
    <col min="5375" max="5620" width="9.140625" style="2"/>
    <col min="5621" max="5621" width="4.7109375" style="2" customWidth="1"/>
    <col min="5622" max="5622" width="26.7109375" style="2" customWidth="1"/>
    <col min="5623" max="5630" width="16.7109375" style="2" customWidth="1"/>
    <col min="5631" max="5876" width="9.140625" style="2"/>
    <col min="5877" max="5877" width="4.7109375" style="2" customWidth="1"/>
    <col min="5878" max="5878" width="26.7109375" style="2" customWidth="1"/>
    <col min="5879" max="5886" width="16.7109375" style="2" customWidth="1"/>
    <col min="5887" max="6132" width="9.140625" style="2"/>
    <col min="6133" max="6133" width="4.7109375" style="2" customWidth="1"/>
    <col min="6134" max="6134" width="26.7109375" style="2" customWidth="1"/>
    <col min="6135" max="6142" width="16.7109375" style="2" customWidth="1"/>
    <col min="6143" max="6388" width="9.140625" style="2"/>
    <col min="6389" max="6389" width="4.7109375" style="2" customWidth="1"/>
    <col min="6390" max="6390" width="26.7109375" style="2" customWidth="1"/>
    <col min="6391" max="6398" width="16.7109375" style="2" customWidth="1"/>
    <col min="6399" max="6644" width="9.140625" style="2"/>
    <col min="6645" max="6645" width="4.7109375" style="2" customWidth="1"/>
    <col min="6646" max="6646" width="26.7109375" style="2" customWidth="1"/>
    <col min="6647" max="6654" width="16.7109375" style="2" customWidth="1"/>
    <col min="6655" max="6900" width="9.140625" style="2"/>
    <col min="6901" max="6901" width="4.7109375" style="2" customWidth="1"/>
    <col min="6902" max="6902" width="26.7109375" style="2" customWidth="1"/>
    <col min="6903" max="6910" width="16.7109375" style="2" customWidth="1"/>
    <col min="6911" max="7156" width="9.140625" style="2"/>
    <col min="7157" max="7157" width="4.7109375" style="2" customWidth="1"/>
    <col min="7158" max="7158" width="26.7109375" style="2" customWidth="1"/>
    <col min="7159" max="7166" width="16.7109375" style="2" customWidth="1"/>
    <col min="7167" max="7412" width="9.140625" style="2"/>
    <col min="7413" max="7413" width="4.7109375" style="2" customWidth="1"/>
    <col min="7414" max="7414" width="26.7109375" style="2" customWidth="1"/>
    <col min="7415" max="7422" width="16.7109375" style="2" customWidth="1"/>
    <col min="7423" max="7668" width="9.140625" style="2"/>
    <col min="7669" max="7669" width="4.7109375" style="2" customWidth="1"/>
    <col min="7670" max="7670" width="26.7109375" style="2" customWidth="1"/>
    <col min="7671" max="7678" width="16.7109375" style="2" customWidth="1"/>
    <col min="7679" max="7924" width="9.140625" style="2"/>
    <col min="7925" max="7925" width="4.7109375" style="2" customWidth="1"/>
    <col min="7926" max="7926" width="26.7109375" style="2" customWidth="1"/>
    <col min="7927" max="7934" width="16.7109375" style="2" customWidth="1"/>
    <col min="7935" max="8180" width="9.140625" style="2"/>
    <col min="8181" max="8181" width="4.7109375" style="2" customWidth="1"/>
    <col min="8182" max="8182" width="26.7109375" style="2" customWidth="1"/>
    <col min="8183" max="8190" width="16.7109375" style="2" customWidth="1"/>
    <col min="8191" max="8436" width="9.140625" style="2"/>
    <col min="8437" max="8437" width="4.7109375" style="2" customWidth="1"/>
    <col min="8438" max="8438" width="26.7109375" style="2" customWidth="1"/>
    <col min="8439" max="8446" width="16.7109375" style="2" customWidth="1"/>
    <col min="8447" max="8692" width="9.140625" style="2"/>
    <col min="8693" max="8693" width="4.7109375" style="2" customWidth="1"/>
    <col min="8694" max="8694" width="26.7109375" style="2" customWidth="1"/>
    <col min="8695" max="8702" width="16.7109375" style="2" customWidth="1"/>
    <col min="8703" max="8948" width="9.140625" style="2"/>
    <col min="8949" max="8949" width="4.7109375" style="2" customWidth="1"/>
    <col min="8950" max="8950" width="26.7109375" style="2" customWidth="1"/>
    <col min="8951" max="8958" width="16.7109375" style="2" customWidth="1"/>
    <col min="8959" max="9204" width="9.140625" style="2"/>
    <col min="9205" max="9205" width="4.7109375" style="2" customWidth="1"/>
    <col min="9206" max="9206" width="26.7109375" style="2" customWidth="1"/>
    <col min="9207" max="9214" width="16.7109375" style="2" customWidth="1"/>
    <col min="9215" max="9460" width="9.140625" style="2"/>
    <col min="9461" max="9461" width="4.7109375" style="2" customWidth="1"/>
    <col min="9462" max="9462" width="26.7109375" style="2" customWidth="1"/>
    <col min="9463" max="9470" width="16.7109375" style="2" customWidth="1"/>
    <col min="9471" max="9716" width="9.140625" style="2"/>
    <col min="9717" max="9717" width="4.7109375" style="2" customWidth="1"/>
    <col min="9718" max="9718" width="26.7109375" style="2" customWidth="1"/>
    <col min="9719" max="9726" width="16.7109375" style="2" customWidth="1"/>
    <col min="9727" max="9972" width="9.140625" style="2"/>
    <col min="9973" max="9973" width="4.7109375" style="2" customWidth="1"/>
    <col min="9974" max="9974" width="26.7109375" style="2" customWidth="1"/>
    <col min="9975" max="9982" width="16.7109375" style="2" customWidth="1"/>
    <col min="9983" max="10228" width="9.140625" style="2"/>
    <col min="10229" max="10229" width="4.7109375" style="2" customWidth="1"/>
    <col min="10230" max="10230" width="26.7109375" style="2" customWidth="1"/>
    <col min="10231" max="10238" width="16.7109375" style="2" customWidth="1"/>
    <col min="10239" max="10484" width="9.140625" style="2"/>
    <col min="10485" max="10485" width="4.7109375" style="2" customWidth="1"/>
    <col min="10486" max="10486" width="26.7109375" style="2" customWidth="1"/>
    <col min="10487" max="10494" width="16.7109375" style="2" customWidth="1"/>
    <col min="10495" max="10740" width="9.140625" style="2"/>
    <col min="10741" max="10741" width="4.7109375" style="2" customWidth="1"/>
    <col min="10742" max="10742" width="26.7109375" style="2" customWidth="1"/>
    <col min="10743" max="10750" width="16.7109375" style="2" customWidth="1"/>
    <col min="10751" max="10996" width="9.140625" style="2"/>
    <col min="10997" max="10997" width="4.7109375" style="2" customWidth="1"/>
    <col min="10998" max="10998" width="26.7109375" style="2" customWidth="1"/>
    <col min="10999" max="11006" width="16.7109375" style="2" customWidth="1"/>
    <col min="11007" max="11252" width="9.140625" style="2"/>
    <col min="11253" max="11253" width="4.7109375" style="2" customWidth="1"/>
    <col min="11254" max="11254" width="26.7109375" style="2" customWidth="1"/>
    <col min="11255" max="11262" width="16.7109375" style="2" customWidth="1"/>
    <col min="11263" max="11508" width="9.140625" style="2"/>
    <col min="11509" max="11509" width="4.7109375" style="2" customWidth="1"/>
    <col min="11510" max="11510" width="26.7109375" style="2" customWidth="1"/>
    <col min="11511" max="11518" width="16.7109375" style="2" customWidth="1"/>
    <col min="11519" max="11764" width="9.140625" style="2"/>
    <col min="11765" max="11765" width="4.7109375" style="2" customWidth="1"/>
    <col min="11766" max="11766" width="26.7109375" style="2" customWidth="1"/>
    <col min="11767" max="11774" width="16.7109375" style="2" customWidth="1"/>
    <col min="11775" max="12020" width="9.140625" style="2"/>
    <col min="12021" max="12021" width="4.7109375" style="2" customWidth="1"/>
    <col min="12022" max="12022" width="26.7109375" style="2" customWidth="1"/>
    <col min="12023" max="12030" width="16.7109375" style="2" customWidth="1"/>
    <col min="12031" max="12276" width="9.140625" style="2"/>
    <col min="12277" max="12277" width="4.7109375" style="2" customWidth="1"/>
    <col min="12278" max="12278" width="26.7109375" style="2" customWidth="1"/>
    <col min="12279" max="12286" width="16.7109375" style="2" customWidth="1"/>
    <col min="12287" max="12532" width="9.140625" style="2"/>
    <col min="12533" max="12533" width="4.7109375" style="2" customWidth="1"/>
    <col min="12534" max="12534" width="26.7109375" style="2" customWidth="1"/>
    <col min="12535" max="12542" width="16.7109375" style="2" customWidth="1"/>
    <col min="12543" max="12788" width="9.140625" style="2"/>
    <col min="12789" max="12789" width="4.7109375" style="2" customWidth="1"/>
    <col min="12790" max="12790" width="26.7109375" style="2" customWidth="1"/>
    <col min="12791" max="12798" width="16.7109375" style="2" customWidth="1"/>
    <col min="12799" max="13044" width="9.140625" style="2"/>
    <col min="13045" max="13045" width="4.7109375" style="2" customWidth="1"/>
    <col min="13046" max="13046" width="26.7109375" style="2" customWidth="1"/>
    <col min="13047" max="13054" width="16.7109375" style="2" customWidth="1"/>
    <col min="13055" max="13300" width="9.140625" style="2"/>
    <col min="13301" max="13301" width="4.7109375" style="2" customWidth="1"/>
    <col min="13302" max="13302" width="26.7109375" style="2" customWidth="1"/>
    <col min="13303" max="13310" width="16.7109375" style="2" customWidth="1"/>
    <col min="13311" max="13556" width="9.140625" style="2"/>
    <col min="13557" max="13557" width="4.7109375" style="2" customWidth="1"/>
    <col min="13558" max="13558" width="26.7109375" style="2" customWidth="1"/>
    <col min="13559" max="13566" width="16.7109375" style="2" customWidth="1"/>
    <col min="13567" max="13812" width="9.140625" style="2"/>
    <col min="13813" max="13813" width="4.7109375" style="2" customWidth="1"/>
    <col min="13814" max="13814" width="26.7109375" style="2" customWidth="1"/>
    <col min="13815" max="13822" width="16.7109375" style="2" customWidth="1"/>
    <col min="13823" max="14068" width="9.140625" style="2"/>
    <col min="14069" max="14069" width="4.7109375" style="2" customWidth="1"/>
    <col min="14070" max="14070" width="26.7109375" style="2" customWidth="1"/>
    <col min="14071" max="14078" width="16.7109375" style="2" customWidth="1"/>
    <col min="14079" max="14324" width="9.140625" style="2"/>
    <col min="14325" max="14325" width="4.7109375" style="2" customWidth="1"/>
    <col min="14326" max="14326" width="26.7109375" style="2" customWidth="1"/>
    <col min="14327" max="14334" width="16.7109375" style="2" customWidth="1"/>
    <col min="14335" max="14580" width="9.140625" style="2"/>
    <col min="14581" max="14581" width="4.7109375" style="2" customWidth="1"/>
    <col min="14582" max="14582" width="26.7109375" style="2" customWidth="1"/>
    <col min="14583" max="14590" width="16.7109375" style="2" customWidth="1"/>
    <col min="14591" max="14836" width="9.140625" style="2"/>
    <col min="14837" max="14837" width="4.7109375" style="2" customWidth="1"/>
    <col min="14838" max="14838" width="26.7109375" style="2" customWidth="1"/>
    <col min="14839" max="14846" width="16.7109375" style="2" customWidth="1"/>
    <col min="14847" max="15092" width="9.140625" style="2"/>
    <col min="15093" max="15093" width="4.7109375" style="2" customWidth="1"/>
    <col min="15094" max="15094" width="26.7109375" style="2" customWidth="1"/>
    <col min="15095" max="15102" width="16.7109375" style="2" customWidth="1"/>
    <col min="15103" max="15348" width="9.140625" style="2"/>
    <col min="15349" max="15349" width="4.7109375" style="2" customWidth="1"/>
    <col min="15350" max="15350" width="26.7109375" style="2" customWidth="1"/>
    <col min="15351" max="15358" width="16.7109375" style="2" customWidth="1"/>
    <col min="15359" max="15604" width="9.140625" style="2"/>
    <col min="15605" max="15605" width="4.7109375" style="2" customWidth="1"/>
    <col min="15606" max="15606" width="26.7109375" style="2" customWidth="1"/>
    <col min="15607" max="15614" width="16.7109375" style="2" customWidth="1"/>
    <col min="15615" max="15860" width="9.140625" style="2"/>
    <col min="15861" max="15861" width="4.7109375" style="2" customWidth="1"/>
    <col min="15862" max="15862" width="26.7109375" style="2" customWidth="1"/>
    <col min="15863" max="15870" width="16.7109375" style="2" customWidth="1"/>
    <col min="15871" max="16116" width="9.140625" style="2"/>
    <col min="16117" max="16117" width="4.7109375" style="2" customWidth="1"/>
    <col min="16118" max="16118" width="26.7109375" style="2" customWidth="1"/>
    <col min="16119" max="16126" width="16.7109375" style="2" customWidth="1"/>
    <col min="16127" max="16384" width="9.140625" style="2"/>
  </cols>
  <sheetData>
    <row r="1" spans="1:4" ht="19.5" customHeight="1" x14ac:dyDescent="0.2">
      <c r="A1" s="5" t="s">
        <v>0</v>
      </c>
    </row>
    <row r="2" spans="1:4" ht="15.75" x14ac:dyDescent="0.2">
      <c r="A2" s="81" t="s">
        <v>144</v>
      </c>
    </row>
    <row r="3" spans="1:4" ht="16.5" thickBot="1" x14ac:dyDescent="0.25">
      <c r="A3" s="8"/>
    </row>
    <row r="4" spans="1:4" s="128" customFormat="1" ht="39.950000000000003" customHeight="1" x14ac:dyDescent="0.2">
      <c r="A4" s="146" t="s">
        <v>143</v>
      </c>
      <c r="B4" s="147" t="s">
        <v>162</v>
      </c>
      <c r="C4" s="148" t="s">
        <v>171</v>
      </c>
    </row>
    <row r="5" spans="1:4" ht="20.100000000000001" customHeight="1" x14ac:dyDescent="0.2">
      <c r="A5" s="149">
        <v>6000</v>
      </c>
      <c r="B5" s="49" t="s">
        <v>159</v>
      </c>
      <c r="C5" s="150" t="s">
        <v>164</v>
      </c>
      <c r="D5" s="6"/>
    </row>
    <row r="6" spans="1:4" ht="20.100000000000001" customHeight="1" x14ac:dyDescent="0.2">
      <c r="A6" s="149">
        <v>6010</v>
      </c>
      <c r="B6" s="49" t="s">
        <v>146</v>
      </c>
      <c r="C6" s="150" t="s">
        <v>165</v>
      </c>
      <c r="D6" s="6"/>
    </row>
    <row r="7" spans="1:4" ht="20.100000000000001" customHeight="1" x14ac:dyDescent="0.2">
      <c r="A7" s="152">
        <v>9010</v>
      </c>
      <c r="B7" s="49" t="s">
        <v>24</v>
      </c>
      <c r="C7" s="150" t="s">
        <v>160</v>
      </c>
      <c r="D7" s="6"/>
    </row>
    <row r="8" spans="1:4" ht="20.100000000000001" customHeight="1" x14ac:dyDescent="0.2">
      <c r="A8" s="153">
        <v>9020</v>
      </c>
      <c r="B8" s="49" t="s">
        <v>145</v>
      </c>
      <c r="C8" s="150" t="s">
        <v>161</v>
      </c>
      <c r="D8" s="6"/>
    </row>
    <row r="9" spans="1:4" ht="20.100000000000001" customHeight="1" x14ac:dyDescent="0.2">
      <c r="A9" s="153">
        <v>9021</v>
      </c>
      <c r="B9" s="49" t="s">
        <v>147</v>
      </c>
      <c r="C9" s="150" t="s">
        <v>166</v>
      </c>
      <c r="D9" s="6"/>
    </row>
    <row r="10" spans="1:4" ht="20.100000000000001" customHeight="1" x14ac:dyDescent="0.2">
      <c r="A10" s="153">
        <v>9022</v>
      </c>
      <c r="B10" s="49" t="s">
        <v>154</v>
      </c>
      <c r="C10" s="150" t="s">
        <v>167</v>
      </c>
      <c r="D10" s="6"/>
    </row>
    <row r="11" spans="1:4" ht="20.100000000000001" customHeight="1" x14ac:dyDescent="0.2">
      <c r="A11" s="153">
        <v>9023</v>
      </c>
      <c r="B11" s="49" t="s">
        <v>148</v>
      </c>
      <c r="C11" s="150" t="s">
        <v>168</v>
      </c>
      <c r="D11" s="6"/>
    </row>
    <row r="12" spans="1:4" ht="20.100000000000001" customHeight="1" x14ac:dyDescent="0.2">
      <c r="A12" s="153">
        <v>9024</v>
      </c>
      <c r="B12" s="49" t="s">
        <v>149</v>
      </c>
      <c r="C12" s="150" t="s">
        <v>157</v>
      </c>
      <c r="D12" s="6"/>
    </row>
    <row r="13" spans="1:4" ht="20.100000000000001" customHeight="1" x14ac:dyDescent="0.2">
      <c r="A13" s="153">
        <v>9025</v>
      </c>
      <c r="B13" s="49" t="s">
        <v>150</v>
      </c>
      <c r="C13" s="150" t="s">
        <v>158</v>
      </c>
      <c r="D13" s="6"/>
    </row>
    <row r="14" spans="1:4" ht="20.100000000000001" customHeight="1" x14ac:dyDescent="0.2">
      <c r="A14" s="153">
        <v>9026</v>
      </c>
      <c r="B14" s="49" t="s">
        <v>151</v>
      </c>
      <c r="C14" s="150" t="s">
        <v>155</v>
      </c>
      <c r="D14" s="6"/>
    </row>
    <row r="15" spans="1:4" ht="20.100000000000001" customHeight="1" x14ac:dyDescent="0.2">
      <c r="A15" s="153">
        <v>9027</v>
      </c>
      <c r="B15" s="49" t="s">
        <v>152</v>
      </c>
      <c r="C15" s="150" t="s">
        <v>156</v>
      </c>
      <c r="D15" s="6"/>
    </row>
    <row r="16" spans="1:4" ht="20.100000000000001" customHeight="1" x14ac:dyDescent="0.2">
      <c r="A16" s="151">
        <v>9030</v>
      </c>
      <c r="B16" s="49" t="s">
        <v>153</v>
      </c>
      <c r="C16" s="150" t="s">
        <v>172</v>
      </c>
      <c r="D16" s="6"/>
    </row>
    <row r="17" spans="1:5" ht="20.100000000000001" customHeight="1" x14ac:dyDescent="0.2">
      <c r="A17" s="152">
        <v>9035</v>
      </c>
      <c r="B17" s="49" t="s">
        <v>119</v>
      </c>
      <c r="C17" s="150" t="s">
        <v>304</v>
      </c>
      <c r="D17" s="6"/>
    </row>
    <row r="18" spans="1:5" ht="20.100000000000001" customHeight="1" x14ac:dyDescent="0.2">
      <c r="A18" s="152">
        <v>9040</v>
      </c>
      <c r="B18" s="49" t="s">
        <v>25</v>
      </c>
      <c r="C18" s="150" t="s">
        <v>169</v>
      </c>
    </row>
    <row r="19" spans="1:5" ht="20.100000000000001" hidden="1" customHeight="1" x14ac:dyDescent="0.2">
      <c r="A19" s="154"/>
      <c r="B19" s="15" t="s">
        <v>16</v>
      </c>
      <c r="C19" s="150" t="s">
        <v>163</v>
      </c>
    </row>
    <row r="20" spans="1:5" ht="20.100000000000001" customHeight="1" thickBot="1" x14ac:dyDescent="0.25">
      <c r="A20" s="155"/>
      <c r="B20" s="156" t="s">
        <v>11</v>
      </c>
      <c r="C20" s="157" t="s">
        <v>228</v>
      </c>
    </row>
    <row r="21" spans="1:5" ht="20.100000000000001" customHeight="1" thickBot="1" x14ac:dyDescent="0.25">
      <c r="A21" s="129"/>
      <c r="B21" s="129"/>
      <c r="C21" s="76"/>
    </row>
    <row r="22" spans="1:5" ht="39.950000000000003" customHeight="1" thickBot="1" x14ac:dyDescent="0.25">
      <c r="A22" s="146" t="s">
        <v>143</v>
      </c>
      <c r="B22" s="158" t="s">
        <v>173</v>
      </c>
      <c r="C22" s="158" t="s">
        <v>174</v>
      </c>
      <c r="D22" s="159" t="s">
        <v>175</v>
      </c>
      <c r="E22" s="160" t="s">
        <v>176</v>
      </c>
    </row>
    <row r="23" spans="1:5" ht="20.100000000000001" customHeight="1" x14ac:dyDescent="0.2">
      <c r="A23" s="139">
        <v>8090</v>
      </c>
      <c r="B23" s="132" t="s">
        <v>18</v>
      </c>
      <c r="C23" s="133" t="s">
        <v>193</v>
      </c>
      <c r="D23" s="317">
        <v>1</v>
      </c>
      <c r="E23" s="323" t="s">
        <v>81</v>
      </c>
    </row>
    <row r="24" spans="1:5" ht="20.100000000000001" customHeight="1" x14ac:dyDescent="0.2">
      <c r="A24" s="134">
        <v>3500</v>
      </c>
      <c r="B24" s="108" t="s">
        <v>20</v>
      </c>
      <c r="C24" s="131" t="s">
        <v>194</v>
      </c>
      <c r="D24" s="318"/>
      <c r="E24" s="324"/>
    </row>
    <row r="25" spans="1:5" ht="20.100000000000001" customHeight="1" x14ac:dyDescent="0.2">
      <c r="A25" s="140">
        <v>8120</v>
      </c>
      <c r="B25" s="108" t="s">
        <v>120</v>
      </c>
      <c r="C25" s="4" t="s">
        <v>179</v>
      </c>
      <c r="D25" s="318"/>
      <c r="E25" s="324"/>
    </row>
    <row r="26" spans="1:5" ht="20.100000000000001" customHeight="1" x14ac:dyDescent="0.2">
      <c r="A26" s="140">
        <v>8121</v>
      </c>
      <c r="B26" s="108" t="s">
        <v>121</v>
      </c>
      <c r="C26" s="4" t="s">
        <v>195</v>
      </c>
      <c r="D26" s="318"/>
      <c r="E26" s="324"/>
    </row>
    <row r="27" spans="1:5" ht="20.100000000000001" customHeight="1" thickBot="1" x14ac:dyDescent="0.25">
      <c r="A27" s="141">
        <v>8084</v>
      </c>
      <c r="B27" s="135" t="s">
        <v>44</v>
      </c>
      <c r="C27" s="136" t="s">
        <v>180</v>
      </c>
      <c r="D27" s="319"/>
      <c r="E27" s="325"/>
    </row>
    <row r="28" spans="1:5" ht="20.100000000000001" customHeight="1" x14ac:dyDescent="0.2">
      <c r="A28" s="139">
        <v>8050</v>
      </c>
      <c r="B28" s="132" t="s">
        <v>42</v>
      </c>
      <c r="C28" s="133" t="s">
        <v>181</v>
      </c>
      <c r="D28" s="315">
        <v>2</v>
      </c>
      <c r="E28" s="321" t="s">
        <v>82</v>
      </c>
    </row>
    <row r="29" spans="1:5" ht="20.100000000000001" customHeight="1" x14ac:dyDescent="0.2">
      <c r="A29" s="140">
        <v>8093</v>
      </c>
      <c r="B29" s="108" t="s">
        <v>131</v>
      </c>
      <c r="C29" s="49" t="s">
        <v>196</v>
      </c>
      <c r="D29" s="316"/>
      <c r="E29" s="322"/>
    </row>
    <row r="30" spans="1:5" ht="20.100000000000001" customHeight="1" thickBot="1" x14ac:dyDescent="0.25">
      <c r="A30" s="137">
        <v>8081</v>
      </c>
      <c r="B30" s="135" t="s">
        <v>19</v>
      </c>
      <c r="C30" s="136" t="s">
        <v>182</v>
      </c>
      <c r="D30" s="320"/>
      <c r="E30" s="326"/>
    </row>
    <row r="31" spans="1:5" ht="20.100000000000001" customHeight="1" x14ac:dyDescent="0.2">
      <c r="A31" s="139">
        <v>8091</v>
      </c>
      <c r="B31" s="138" t="s">
        <v>183</v>
      </c>
      <c r="C31" s="133" t="s">
        <v>197</v>
      </c>
      <c r="D31" s="317">
        <v>3</v>
      </c>
      <c r="E31" s="323" t="s">
        <v>177</v>
      </c>
    </row>
    <row r="32" spans="1:5" ht="20.100000000000001" customHeight="1" x14ac:dyDescent="0.2">
      <c r="A32" s="140">
        <v>9061</v>
      </c>
      <c r="B32" s="130" t="s">
        <v>29</v>
      </c>
      <c r="C32" s="49" t="s">
        <v>185</v>
      </c>
      <c r="D32" s="318"/>
      <c r="E32" s="324"/>
    </row>
    <row r="33" spans="1:5" ht="20.100000000000001" customHeight="1" thickBot="1" x14ac:dyDescent="0.25">
      <c r="A33" s="190">
        <v>8110</v>
      </c>
      <c r="B33" s="108" t="s">
        <v>135</v>
      </c>
      <c r="C33" s="49" t="s">
        <v>198</v>
      </c>
      <c r="D33" s="192">
        <v>4</v>
      </c>
      <c r="E33" s="193" t="s">
        <v>312</v>
      </c>
    </row>
    <row r="34" spans="1:5" ht="20.100000000000001" customHeight="1" x14ac:dyDescent="0.2">
      <c r="A34" s="139">
        <v>8000</v>
      </c>
      <c r="B34" s="132" t="s">
        <v>34</v>
      </c>
      <c r="C34" s="133" t="s">
        <v>188</v>
      </c>
      <c r="D34" s="317">
        <v>5</v>
      </c>
      <c r="E34" s="323" t="s">
        <v>79</v>
      </c>
    </row>
    <row r="35" spans="1:5" ht="20.100000000000001" customHeight="1" x14ac:dyDescent="0.2">
      <c r="A35" s="140">
        <v>8010</v>
      </c>
      <c r="B35" s="108" t="s">
        <v>33</v>
      </c>
      <c r="C35" s="49" t="s">
        <v>186</v>
      </c>
      <c r="D35" s="318"/>
      <c r="E35" s="324"/>
    </row>
    <row r="36" spans="1:5" ht="20.100000000000001" customHeight="1" x14ac:dyDescent="0.2">
      <c r="A36" s="195">
        <v>8020</v>
      </c>
      <c r="B36" s="108" t="s">
        <v>129</v>
      </c>
      <c r="C36" s="49" t="s">
        <v>187</v>
      </c>
      <c r="D36" s="318"/>
      <c r="E36" s="324"/>
    </row>
    <row r="37" spans="1:5" ht="20.100000000000001" customHeight="1" x14ac:dyDescent="0.2">
      <c r="A37" s="195">
        <v>8021</v>
      </c>
      <c r="B37" s="108" t="s">
        <v>130</v>
      </c>
      <c r="C37" s="49" t="s">
        <v>189</v>
      </c>
      <c r="D37" s="318"/>
      <c r="E37" s="324"/>
    </row>
    <row r="38" spans="1:5" ht="20.100000000000001" customHeight="1" x14ac:dyDescent="0.2">
      <c r="A38" s="140">
        <v>8055</v>
      </c>
      <c r="B38" s="108" t="s">
        <v>74</v>
      </c>
      <c r="C38" s="49" t="s">
        <v>192</v>
      </c>
      <c r="D38" s="318"/>
      <c r="E38" s="324"/>
    </row>
    <row r="39" spans="1:5" ht="20.100000000000001" customHeight="1" x14ac:dyDescent="0.2">
      <c r="A39" s="191">
        <v>8030</v>
      </c>
      <c r="B39" s="108" t="s">
        <v>65</v>
      </c>
      <c r="C39" s="49" t="s">
        <v>191</v>
      </c>
      <c r="D39" s="318"/>
      <c r="E39" s="324"/>
    </row>
    <row r="40" spans="1:5" ht="20.100000000000001" customHeight="1" thickBot="1" x14ac:dyDescent="0.25">
      <c r="A40" s="140">
        <v>8070</v>
      </c>
      <c r="B40" s="108" t="s">
        <v>5</v>
      </c>
      <c r="C40" s="49" t="s">
        <v>190</v>
      </c>
      <c r="D40" s="318"/>
      <c r="E40" s="324"/>
    </row>
    <row r="41" spans="1:5" ht="20.100000000000001" customHeight="1" x14ac:dyDescent="0.2">
      <c r="A41" s="142">
        <v>66001</v>
      </c>
      <c r="B41" s="132" t="s">
        <v>122</v>
      </c>
      <c r="C41" s="49" t="s">
        <v>222</v>
      </c>
      <c r="D41" s="312">
        <v>6</v>
      </c>
      <c r="E41" s="321" t="s">
        <v>80</v>
      </c>
    </row>
    <row r="42" spans="1:5" ht="20.100000000000001" customHeight="1" x14ac:dyDescent="0.2">
      <c r="A42" s="143">
        <v>66002</v>
      </c>
      <c r="B42" s="108" t="s">
        <v>123</v>
      </c>
      <c r="C42" s="49" t="s">
        <v>231</v>
      </c>
      <c r="D42" s="313"/>
      <c r="E42" s="322"/>
    </row>
    <row r="43" spans="1:5" ht="20.100000000000001" customHeight="1" x14ac:dyDescent="0.2">
      <c r="A43" s="144">
        <v>66003</v>
      </c>
      <c r="B43" s="126" t="s">
        <v>124</v>
      </c>
      <c r="C43" s="49" t="s">
        <v>229</v>
      </c>
      <c r="D43" s="313"/>
      <c r="E43" s="322"/>
    </row>
    <row r="44" spans="1:5" ht="20.100000000000001" customHeight="1" x14ac:dyDescent="0.2">
      <c r="A44" s="144">
        <v>66004</v>
      </c>
      <c r="B44" s="126" t="s">
        <v>125</v>
      </c>
      <c r="C44" s="49" t="s">
        <v>230</v>
      </c>
      <c r="D44" s="313"/>
      <c r="E44" s="322"/>
    </row>
    <row r="45" spans="1:5" ht="20.100000000000001" customHeight="1" x14ac:dyDescent="0.2">
      <c r="A45" s="144">
        <v>66005</v>
      </c>
      <c r="B45" s="56" t="s">
        <v>246</v>
      </c>
      <c r="C45" s="49" t="s">
        <v>270</v>
      </c>
      <c r="D45" s="313"/>
      <c r="E45" s="322"/>
    </row>
    <row r="46" spans="1:5" ht="20.100000000000001" customHeight="1" x14ac:dyDescent="0.2">
      <c r="A46" s="144">
        <v>66006</v>
      </c>
      <c r="B46" s="196" t="s">
        <v>263</v>
      </c>
      <c r="C46" s="194" t="s">
        <v>271</v>
      </c>
      <c r="D46" s="313"/>
      <c r="E46" s="322"/>
    </row>
    <row r="47" spans="1:5" ht="20.100000000000001" customHeight="1" x14ac:dyDescent="0.2">
      <c r="A47" s="140">
        <v>8060</v>
      </c>
      <c r="B47" s="108" t="s">
        <v>66</v>
      </c>
      <c r="C47" s="49" t="s">
        <v>214</v>
      </c>
      <c r="D47" s="313"/>
      <c r="E47" s="322"/>
    </row>
    <row r="48" spans="1:5" ht="20.100000000000001" customHeight="1" x14ac:dyDescent="0.2">
      <c r="A48" s="140">
        <v>8041</v>
      </c>
      <c r="B48" s="108" t="s">
        <v>14</v>
      </c>
      <c r="C48" s="49" t="s">
        <v>215</v>
      </c>
      <c r="D48" s="313"/>
      <c r="E48" s="322"/>
    </row>
    <row r="49" spans="1:5" ht="20.100000000000001" customHeight="1" x14ac:dyDescent="0.2">
      <c r="A49" s="140">
        <v>8042</v>
      </c>
      <c r="B49" s="108" t="s">
        <v>15</v>
      </c>
      <c r="C49" s="49" t="s">
        <v>216</v>
      </c>
      <c r="D49" s="313"/>
      <c r="E49" s="322"/>
    </row>
    <row r="50" spans="1:5" ht="20.100000000000001" customHeight="1" x14ac:dyDescent="0.2">
      <c r="A50" s="140">
        <v>8040</v>
      </c>
      <c r="B50" s="108" t="s">
        <v>126</v>
      </c>
      <c r="C50" s="49" t="s">
        <v>303</v>
      </c>
      <c r="D50" s="313"/>
      <c r="E50" s="322"/>
    </row>
    <row r="51" spans="1:5" ht="20.100000000000001" customHeight="1" x14ac:dyDescent="0.2">
      <c r="A51" s="140">
        <v>8045</v>
      </c>
      <c r="B51" s="108" t="s">
        <v>67</v>
      </c>
      <c r="C51" s="49" t="s">
        <v>217</v>
      </c>
      <c r="D51" s="313"/>
      <c r="E51" s="322"/>
    </row>
    <row r="52" spans="1:5" ht="20.100000000000001" customHeight="1" x14ac:dyDescent="0.2">
      <c r="A52" s="140">
        <v>8044</v>
      </c>
      <c r="B52" s="108" t="s">
        <v>68</v>
      </c>
      <c r="C52" s="49" t="s">
        <v>218</v>
      </c>
      <c r="D52" s="313"/>
      <c r="E52" s="322"/>
    </row>
    <row r="53" spans="1:5" ht="20.100000000000001" customHeight="1" x14ac:dyDescent="0.2">
      <c r="A53" s="140">
        <v>9065</v>
      </c>
      <c r="B53" s="108" t="s">
        <v>69</v>
      </c>
      <c r="C53" s="49" t="s">
        <v>219</v>
      </c>
      <c r="D53" s="313"/>
      <c r="E53" s="322"/>
    </row>
    <row r="54" spans="1:5" ht="20.100000000000001" customHeight="1" x14ac:dyDescent="0.2">
      <c r="A54" s="191">
        <v>8043</v>
      </c>
      <c r="B54" s="309" t="s">
        <v>320</v>
      </c>
      <c r="C54" s="310" t="s">
        <v>321</v>
      </c>
      <c r="D54" s="313"/>
      <c r="E54" s="322"/>
    </row>
    <row r="55" spans="1:5" ht="20.100000000000001" customHeight="1" thickBot="1" x14ac:dyDescent="0.25">
      <c r="A55" s="141">
        <v>9055</v>
      </c>
      <c r="B55" s="135" t="s">
        <v>70</v>
      </c>
      <c r="C55" s="136" t="s">
        <v>220</v>
      </c>
      <c r="D55" s="314"/>
      <c r="E55" s="326"/>
    </row>
    <row r="56" spans="1:5" ht="20.100000000000001" customHeight="1" x14ac:dyDescent="0.2">
      <c r="A56" s="142">
        <v>8150</v>
      </c>
      <c r="B56" s="132" t="s">
        <v>307</v>
      </c>
      <c r="C56" s="133" t="s">
        <v>202</v>
      </c>
      <c r="D56" s="315">
        <v>7</v>
      </c>
      <c r="E56" s="321" t="s">
        <v>178</v>
      </c>
    </row>
    <row r="57" spans="1:5" ht="20.100000000000001" customHeight="1" x14ac:dyDescent="0.2">
      <c r="A57" s="143">
        <v>8151</v>
      </c>
      <c r="B57" s="108" t="s">
        <v>308</v>
      </c>
      <c r="C57" s="49" t="s">
        <v>203</v>
      </c>
      <c r="D57" s="316"/>
      <c r="E57" s="322"/>
    </row>
    <row r="58" spans="1:5" ht="20.100000000000001" customHeight="1" x14ac:dyDescent="0.2">
      <c r="A58" s="143">
        <v>8152</v>
      </c>
      <c r="B58" s="108" t="s">
        <v>127</v>
      </c>
      <c r="C58" s="49" t="s">
        <v>204</v>
      </c>
      <c r="D58" s="316"/>
      <c r="E58" s="322"/>
    </row>
    <row r="59" spans="1:5" ht="20.100000000000001" customHeight="1" x14ac:dyDescent="0.2">
      <c r="A59" s="145">
        <v>8153</v>
      </c>
      <c r="B59" s="108" t="s">
        <v>128</v>
      </c>
      <c r="C59" s="49" t="s">
        <v>205</v>
      </c>
      <c r="D59" s="316"/>
      <c r="E59" s="322"/>
    </row>
    <row r="60" spans="1:5" ht="20.100000000000001" customHeight="1" x14ac:dyDescent="0.2">
      <c r="A60" s="145">
        <v>8156</v>
      </c>
      <c r="B60" s="108" t="s">
        <v>255</v>
      </c>
      <c r="C60" s="219" t="s">
        <v>309</v>
      </c>
      <c r="D60" s="316"/>
      <c r="E60" s="322"/>
    </row>
    <row r="61" spans="1:5" ht="20.100000000000001" customHeight="1" x14ac:dyDescent="0.2">
      <c r="A61" s="145" t="s">
        <v>46</v>
      </c>
      <c r="B61" s="108" t="s">
        <v>306</v>
      </c>
      <c r="C61" s="219" t="s">
        <v>310</v>
      </c>
      <c r="D61" s="316"/>
      <c r="E61" s="322"/>
    </row>
    <row r="62" spans="1:5" ht="20.100000000000001" customHeight="1" x14ac:dyDescent="0.2">
      <c r="A62" s="145" t="s">
        <v>46</v>
      </c>
      <c r="B62" s="108" t="s">
        <v>280</v>
      </c>
      <c r="C62" s="219" t="s">
        <v>311</v>
      </c>
      <c r="D62" s="316"/>
      <c r="E62" s="322"/>
    </row>
    <row r="63" spans="1:5" ht="20.100000000000001" customHeight="1" x14ac:dyDescent="0.2">
      <c r="A63" s="145">
        <v>9060</v>
      </c>
      <c r="B63" s="108" t="s">
        <v>305</v>
      </c>
      <c r="C63" s="49" t="s">
        <v>221</v>
      </c>
      <c r="D63" s="316"/>
      <c r="E63" s="322"/>
    </row>
    <row r="64" spans="1:5" ht="20.100000000000001" customHeight="1" thickBot="1" x14ac:dyDescent="0.25">
      <c r="A64" s="155"/>
      <c r="B64" s="156" t="s">
        <v>12</v>
      </c>
      <c r="C64" s="157" t="s">
        <v>227</v>
      </c>
      <c r="D64" s="161"/>
      <c r="E64" s="162"/>
    </row>
    <row r="65" spans="1:5" ht="20.100000000000001" customHeight="1" thickBot="1" x14ac:dyDescent="0.25"/>
    <row r="66" spans="1:5" ht="60" customHeight="1" thickBot="1" x14ac:dyDescent="0.25">
      <c r="A66" s="177" t="s">
        <v>143</v>
      </c>
      <c r="B66" s="178" t="s">
        <v>223</v>
      </c>
      <c r="C66" s="327" t="s">
        <v>224</v>
      </c>
      <c r="D66" s="327"/>
      <c r="E66" s="328"/>
    </row>
    <row r="67" spans="1:5" ht="20.100000000000001" customHeight="1" x14ac:dyDescent="0.2">
      <c r="A67" s="179"/>
      <c r="B67" s="180" t="s">
        <v>6</v>
      </c>
      <c r="C67" s="329" t="s">
        <v>225</v>
      </c>
      <c r="D67" s="329"/>
      <c r="E67" s="330"/>
    </row>
    <row r="68" spans="1:5" ht="20.100000000000001" customHeight="1" thickBot="1" x14ac:dyDescent="0.25">
      <c r="A68" s="174"/>
      <c r="B68" s="175" t="s">
        <v>9</v>
      </c>
      <c r="C68" s="331" t="s">
        <v>226</v>
      </c>
      <c r="D68" s="331"/>
      <c r="E68" s="332"/>
    </row>
    <row r="69" spans="1:5" ht="20.100000000000001" customHeight="1" thickBot="1" x14ac:dyDescent="0.25">
      <c r="A69" s="184"/>
      <c r="B69" s="185" t="s">
        <v>22</v>
      </c>
      <c r="C69" s="333"/>
      <c r="D69" s="333"/>
      <c r="E69" s="334"/>
    </row>
    <row r="70" spans="1:5" ht="20.100000000000001" customHeight="1" x14ac:dyDescent="0.2">
      <c r="A70" s="183" t="s">
        <v>264</v>
      </c>
      <c r="B70" s="176" t="s">
        <v>7</v>
      </c>
      <c r="C70" s="335" t="s">
        <v>232</v>
      </c>
      <c r="D70" s="335"/>
      <c r="E70" s="336"/>
    </row>
    <row r="71" spans="1:5" ht="20.100000000000001" customHeight="1" x14ac:dyDescent="0.2">
      <c r="A71" s="173" t="s">
        <v>265</v>
      </c>
      <c r="B71" s="56" t="s">
        <v>30</v>
      </c>
      <c r="C71" s="337" t="s">
        <v>233</v>
      </c>
      <c r="D71" s="337"/>
      <c r="E71" s="338"/>
    </row>
    <row r="72" spans="1:5" ht="20.100000000000001" customHeight="1" x14ac:dyDescent="0.2">
      <c r="A72" s="173" t="s">
        <v>264</v>
      </c>
      <c r="B72" s="56" t="s">
        <v>35</v>
      </c>
      <c r="C72" s="337" t="s">
        <v>234</v>
      </c>
      <c r="D72" s="337"/>
      <c r="E72" s="338"/>
    </row>
    <row r="73" spans="1:5" ht="20.100000000000001" customHeight="1" x14ac:dyDescent="0.2">
      <c r="A73" s="173" t="s">
        <v>264</v>
      </c>
      <c r="B73" s="56" t="s">
        <v>31</v>
      </c>
      <c r="C73" s="337" t="s">
        <v>235</v>
      </c>
      <c r="D73" s="337"/>
      <c r="E73" s="338"/>
    </row>
    <row r="74" spans="1:5" ht="20.100000000000001" customHeight="1" thickBot="1" x14ac:dyDescent="0.25">
      <c r="A74" s="174"/>
      <c r="B74" s="175" t="s">
        <v>23</v>
      </c>
      <c r="C74" s="331" t="s">
        <v>236</v>
      </c>
      <c r="D74" s="331"/>
      <c r="E74" s="332"/>
    </row>
    <row r="75" spans="1:5" ht="20.100000000000001" customHeight="1" thickBot="1" x14ac:dyDescent="0.25">
      <c r="A75" s="181"/>
      <c r="B75" s="182" t="s">
        <v>10</v>
      </c>
      <c r="C75" s="339" t="s">
        <v>237</v>
      </c>
      <c r="D75" s="339"/>
      <c r="E75" s="325"/>
    </row>
  </sheetData>
  <mergeCells count="22">
    <mergeCell ref="C71:E71"/>
    <mergeCell ref="C72:E72"/>
    <mergeCell ref="C73:E73"/>
    <mergeCell ref="C74:E74"/>
    <mergeCell ref="C75:E75"/>
    <mergeCell ref="C66:E66"/>
    <mergeCell ref="C67:E67"/>
    <mergeCell ref="C68:E68"/>
    <mergeCell ref="C69:E69"/>
    <mergeCell ref="C70:E70"/>
    <mergeCell ref="E56:E63"/>
    <mergeCell ref="E23:E27"/>
    <mergeCell ref="E28:E30"/>
    <mergeCell ref="E31:E32"/>
    <mergeCell ref="E34:E40"/>
    <mergeCell ref="E41:E55"/>
    <mergeCell ref="D41:D55"/>
    <mergeCell ref="D56:D63"/>
    <mergeCell ref="D23:D27"/>
    <mergeCell ref="D28:D30"/>
    <mergeCell ref="D31:D32"/>
    <mergeCell ref="D34:D40"/>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113"/>
  <sheetViews>
    <sheetView tabSelected="1" zoomScale="104" zoomScaleNormal="104" workbookViewId="0">
      <pane xSplit="3" ySplit="8" topLeftCell="M9" activePane="bottomRight" state="frozen"/>
      <selection pane="topRight" activeCell="C1" sqref="C1"/>
      <selection pane="bottomLeft" activeCell="A8" sqref="A8"/>
      <selection pane="bottomRight" activeCell="Q38" sqref="Q38"/>
    </sheetView>
  </sheetViews>
  <sheetFormatPr defaultRowHeight="12.75" x14ac:dyDescent="0.2"/>
  <cols>
    <col min="1" max="1" width="6" style="2" customWidth="1"/>
    <col min="2" max="2" width="6.7109375" style="2" customWidth="1"/>
    <col min="3" max="3" width="33.5703125" style="2" bestFit="1" customWidth="1"/>
    <col min="4" max="12" width="16.7109375" style="2" hidden="1" customWidth="1"/>
    <col min="13" max="13" width="15.140625" style="2" bestFit="1" customWidth="1"/>
    <col min="14" max="14" width="15.5703125" style="2" bestFit="1" customWidth="1"/>
    <col min="15" max="16" width="15.140625" style="2" bestFit="1" customWidth="1"/>
    <col min="17" max="17" width="15.140625" style="1" bestFit="1" customWidth="1"/>
    <col min="18" max="21" width="15.140625" style="2" customWidth="1"/>
    <col min="22" max="22" width="12.42578125" style="302" customWidth="1"/>
    <col min="23" max="23" width="34.5703125" style="2" customWidth="1"/>
    <col min="24" max="24" width="25.140625" style="2" bestFit="1" customWidth="1"/>
    <col min="25" max="26" width="9.140625" style="2"/>
    <col min="27" max="27" width="12.28515625" style="2" bestFit="1" customWidth="1"/>
    <col min="28" max="260" width="9.140625" style="2"/>
    <col min="261" max="261" width="4.7109375" style="2" customWidth="1"/>
    <col min="262" max="262" width="26.7109375" style="2" customWidth="1"/>
    <col min="263" max="270" width="16.7109375" style="2" customWidth="1"/>
    <col min="271" max="516" width="9.140625" style="2"/>
    <col min="517" max="517" width="4.7109375" style="2" customWidth="1"/>
    <col min="518" max="518" width="26.7109375" style="2" customWidth="1"/>
    <col min="519" max="526" width="16.7109375" style="2" customWidth="1"/>
    <col min="527" max="772" width="9.140625" style="2"/>
    <col min="773" max="773" width="4.7109375" style="2" customWidth="1"/>
    <col min="774" max="774" width="26.7109375" style="2" customWidth="1"/>
    <col min="775" max="782" width="16.7109375" style="2" customWidth="1"/>
    <col min="783" max="1028" width="9.140625" style="2"/>
    <col min="1029" max="1029" width="4.7109375" style="2" customWidth="1"/>
    <col min="1030" max="1030" width="26.7109375" style="2" customWidth="1"/>
    <col min="1031" max="1038" width="16.7109375" style="2" customWidth="1"/>
    <col min="1039" max="1284" width="9.140625" style="2"/>
    <col min="1285" max="1285" width="4.7109375" style="2" customWidth="1"/>
    <col min="1286" max="1286" width="26.7109375" style="2" customWidth="1"/>
    <col min="1287" max="1294" width="16.7109375" style="2" customWidth="1"/>
    <col min="1295" max="1540" width="9.140625" style="2"/>
    <col min="1541" max="1541" width="4.7109375" style="2" customWidth="1"/>
    <col min="1542" max="1542" width="26.7109375" style="2" customWidth="1"/>
    <col min="1543" max="1550" width="16.7109375" style="2" customWidth="1"/>
    <col min="1551" max="1796" width="9.140625" style="2"/>
    <col min="1797" max="1797" width="4.7109375" style="2" customWidth="1"/>
    <col min="1798" max="1798" width="26.7109375" style="2" customWidth="1"/>
    <col min="1799" max="1806" width="16.7109375" style="2" customWidth="1"/>
    <col min="1807" max="2052" width="9.140625" style="2"/>
    <col min="2053" max="2053" width="4.7109375" style="2" customWidth="1"/>
    <col min="2054" max="2054" width="26.7109375" style="2" customWidth="1"/>
    <col min="2055" max="2062" width="16.7109375" style="2" customWidth="1"/>
    <col min="2063" max="2308" width="9.140625" style="2"/>
    <col min="2309" max="2309" width="4.7109375" style="2" customWidth="1"/>
    <col min="2310" max="2310" width="26.7109375" style="2" customWidth="1"/>
    <col min="2311" max="2318" width="16.7109375" style="2" customWidth="1"/>
    <col min="2319" max="2564" width="9.140625" style="2"/>
    <col min="2565" max="2565" width="4.7109375" style="2" customWidth="1"/>
    <col min="2566" max="2566" width="26.7109375" style="2" customWidth="1"/>
    <col min="2567" max="2574" width="16.7109375" style="2" customWidth="1"/>
    <col min="2575" max="2820" width="9.140625" style="2"/>
    <col min="2821" max="2821" width="4.7109375" style="2" customWidth="1"/>
    <col min="2822" max="2822" width="26.7109375" style="2" customWidth="1"/>
    <col min="2823" max="2830" width="16.7109375" style="2" customWidth="1"/>
    <col min="2831" max="3076" width="9.140625" style="2"/>
    <col min="3077" max="3077" width="4.7109375" style="2" customWidth="1"/>
    <col min="3078" max="3078" width="26.7109375" style="2" customWidth="1"/>
    <col min="3079" max="3086" width="16.7109375" style="2" customWidth="1"/>
    <col min="3087" max="3332" width="9.140625" style="2"/>
    <col min="3333" max="3333" width="4.7109375" style="2" customWidth="1"/>
    <col min="3334" max="3334" width="26.7109375" style="2" customWidth="1"/>
    <col min="3335" max="3342" width="16.7109375" style="2" customWidth="1"/>
    <col min="3343" max="3588" width="9.140625" style="2"/>
    <col min="3589" max="3589" width="4.7109375" style="2" customWidth="1"/>
    <col min="3590" max="3590" width="26.7109375" style="2" customWidth="1"/>
    <col min="3591" max="3598" width="16.7109375" style="2" customWidth="1"/>
    <col min="3599" max="3844" width="9.140625" style="2"/>
    <col min="3845" max="3845" width="4.7109375" style="2" customWidth="1"/>
    <col min="3846" max="3846" width="26.7109375" style="2" customWidth="1"/>
    <col min="3847" max="3854" width="16.7109375" style="2" customWidth="1"/>
    <col min="3855" max="4100" width="9.140625" style="2"/>
    <col min="4101" max="4101" width="4.7109375" style="2" customWidth="1"/>
    <col min="4102" max="4102" width="26.7109375" style="2" customWidth="1"/>
    <col min="4103" max="4110" width="16.7109375" style="2" customWidth="1"/>
    <col min="4111" max="4356" width="9.140625" style="2"/>
    <col min="4357" max="4357" width="4.7109375" style="2" customWidth="1"/>
    <col min="4358" max="4358" width="26.7109375" style="2" customWidth="1"/>
    <col min="4359" max="4366" width="16.7109375" style="2" customWidth="1"/>
    <col min="4367" max="4612" width="9.140625" style="2"/>
    <col min="4613" max="4613" width="4.7109375" style="2" customWidth="1"/>
    <col min="4614" max="4614" width="26.7109375" style="2" customWidth="1"/>
    <col min="4615" max="4622" width="16.7109375" style="2" customWidth="1"/>
    <col min="4623" max="4868" width="9.140625" style="2"/>
    <col min="4869" max="4869" width="4.7109375" style="2" customWidth="1"/>
    <col min="4870" max="4870" width="26.7109375" style="2" customWidth="1"/>
    <col min="4871" max="4878" width="16.7109375" style="2" customWidth="1"/>
    <col min="4879" max="5124" width="9.140625" style="2"/>
    <col min="5125" max="5125" width="4.7109375" style="2" customWidth="1"/>
    <col min="5126" max="5126" width="26.7109375" style="2" customWidth="1"/>
    <col min="5127" max="5134" width="16.7109375" style="2" customWidth="1"/>
    <col min="5135" max="5380" width="9.140625" style="2"/>
    <col min="5381" max="5381" width="4.7109375" style="2" customWidth="1"/>
    <col min="5382" max="5382" width="26.7109375" style="2" customWidth="1"/>
    <col min="5383" max="5390" width="16.7109375" style="2" customWidth="1"/>
    <col min="5391" max="5636" width="9.140625" style="2"/>
    <col min="5637" max="5637" width="4.7109375" style="2" customWidth="1"/>
    <col min="5638" max="5638" width="26.7109375" style="2" customWidth="1"/>
    <col min="5639" max="5646" width="16.7109375" style="2" customWidth="1"/>
    <col min="5647" max="5892" width="9.140625" style="2"/>
    <col min="5893" max="5893" width="4.7109375" style="2" customWidth="1"/>
    <col min="5894" max="5894" width="26.7109375" style="2" customWidth="1"/>
    <col min="5895" max="5902" width="16.7109375" style="2" customWidth="1"/>
    <col min="5903" max="6148" width="9.140625" style="2"/>
    <col min="6149" max="6149" width="4.7109375" style="2" customWidth="1"/>
    <col min="6150" max="6150" width="26.7109375" style="2" customWidth="1"/>
    <col min="6151" max="6158" width="16.7109375" style="2" customWidth="1"/>
    <col min="6159" max="6404" width="9.140625" style="2"/>
    <col min="6405" max="6405" width="4.7109375" style="2" customWidth="1"/>
    <col min="6406" max="6406" width="26.7109375" style="2" customWidth="1"/>
    <col min="6407" max="6414" width="16.7109375" style="2" customWidth="1"/>
    <col min="6415" max="6660" width="9.140625" style="2"/>
    <col min="6661" max="6661" width="4.7109375" style="2" customWidth="1"/>
    <col min="6662" max="6662" width="26.7109375" style="2" customWidth="1"/>
    <col min="6663" max="6670" width="16.7109375" style="2" customWidth="1"/>
    <col min="6671" max="6916" width="9.140625" style="2"/>
    <col min="6917" max="6917" width="4.7109375" style="2" customWidth="1"/>
    <col min="6918" max="6918" width="26.7109375" style="2" customWidth="1"/>
    <col min="6919" max="6926" width="16.7109375" style="2" customWidth="1"/>
    <col min="6927" max="7172" width="9.140625" style="2"/>
    <col min="7173" max="7173" width="4.7109375" style="2" customWidth="1"/>
    <col min="7174" max="7174" width="26.7109375" style="2" customWidth="1"/>
    <col min="7175" max="7182" width="16.7109375" style="2" customWidth="1"/>
    <col min="7183" max="7428" width="9.140625" style="2"/>
    <col min="7429" max="7429" width="4.7109375" style="2" customWidth="1"/>
    <col min="7430" max="7430" width="26.7109375" style="2" customWidth="1"/>
    <col min="7431" max="7438" width="16.7109375" style="2" customWidth="1"/>
    <col min="7439" max="7684" width="9.140625" style="2"/>
    <col min="7685" max="7685" width="4.7109375" style="2" customWidth="1"/>
    <col min="7686" max="7686" width="26.7109375" style="2" customWidth="1"/>
    <col min="7687" max="7694" width="16.7109375" style="2" customWidth="1"/>
    <col min="7695" max="7940" width="9.140625" style="2"/>
    <col min="7941" max="7941" width="4.7109375" style="2" customWidth="1"/>
    <col min="7942" max="7942" width="26.7109375" style="2" customWidth="1"/>
    <col min="7943" max="7950" width="16.7109375" style="2" customWidth="1"/>
    <col min="7951" max="8196" width="9.140625" style="2"/>
    <col min="8197" max="8197" width="4.7109375" style="2" customWidth="1"/>
    <col min="8198" max="8198" width="26.7109375" style="2" customWidth="1"/>
    <col min="8199" max="8206" width="16.7109375" style="2" customWidth="1"/>
    <col min="8207" max="8452" width="9.140625" style="2"/>
    <col min="8453" max="8453" width="4.7109375" style="2" customWidth="1"/>
    <col min="8454" max="8454" width="26.7109375" style="2" customWidth="1"/>
    <col min="8455" max="8462" width="16.7109375" style="2" customWidth="1"/>
    <col min="8463" max="8708" width="9.140625" style="2"/>
    <col min="8709" max="8709" width="4.7109375" style="2" customWidth="1"/>
    <col min="8710" max="8710" width="26.7109375" style="2" customWidth="1"/>
    <col min="8711" max="8718" width="16.7109375" style="2" customWidth="1"/>
    <col min="8719" max="8964" width="9.140625" style="2"/>
    <col min="8965" max="8965" width="4.7109375" style="2" customWidth="1"/>
    <col min="8966" max="8966" width="26.7109375" style="2" customWidth="1"/>
    <col min="8967" max="8974" width="16.7109375" style="2" customWidth="1"/>
    <col min="8975" max="9220" width="9.140625" style="2"/>
    <col min="9221" max="9221" width="4.7109375" style="2" customWidth="1"/>
    <col min="9222" max="9222" width="26.7109375" style="2" customWidth="1"/>
    <col min="9223" max="9230" width="16.7109375" style="2" customWidth="1"/>
    <col min="9231" max="9476" width="9.140625" style="2"/>
    <col min="9477" max="9477" width="4.7109375" style="2" customWidth="1"/>
    <col min="9478" max="9478" width="26.7109375" style="2" customWidth="1"/>
    <col min="9479" max="9486" width="16.7109375" style="2" customWidth="1"/>
    <col min="9487" max="9732" width="9.140625" style="2"/>
    <col min="9733" max="9733" width="4.7109375" style="2" customWidth="1"/>
    <col min="9734" max="9734" width="26.7109375" style="2" customWidth="1"/>
    <col min="9735" max="9742" width="16.7109375" style="2" customWidth="1"/>
    <col min="9743" max="9988" width="9.140625" style="2"/>
    <col min="9989" max="9989" width="4.7109375" style="2" customWidth="1"/>
    <col min="9990" max="9990" width="26.7109375" style="2" customWidth="1"/>
    <col min="9991" max="9998" width="16.7109375" style="2" customWidth="1"/>
    <col min="9999" max="10244" width="9.140625" style="2"/>
    <col min="10245" max="10245" width="4.7109375" style="2" customWidth="1"/>
    <col min="10246" max="10246" width="26.7109375" style="2" customWidth="1"/>
    <col min="10247" max="10254" width="16.7109375" style="2" customWidth="1"/>
    <col min="10255" max="10500" width="9.140625" style="2"/>
    <col min="10501" max="10501" width="4.7109375" style="2" customWidth="1"/>
    <col min="10502" max="10502" width="26.7109375" style="2" customWidth="1"/>
    <col min="10503" max="10510" width="16.7109375" style="2" customWidth="1"/>
    <col min="10511" max="10756" width="9.140625" style="2"/>
    <col min="10757" max="10757" width="4.7109375" style="2" customWidth="1"/>
    <col min="10758" max="10758" width="26.7109375" style="2" customWidth="1"/>
    <col min="10759" max="10766" width="16.7109375" style="2" customWidth="1"/>
    <col min="10767" max="11012" width="9.140625" style="2"/>
    <col min="11013" max="11013" width="4.7109375" style="2" customWidth="1"/>
    <col min="11014" max="11014" width="26.7109375" style="2" customWidth="1"/>
    <col min="11015" max="11022" width="16.7109375" style="2" customWidth="1"/>
    <col min="11023" max="11268" width="9.140625" style="2"/>
    <col min="11269" max="11269" width="4.7109375" style="2" customWidth="1"/>
    <col min="11270" max="11270" width="26.7109375" style="2" customWidth="1"/>
    <col min="11271" max="11278" width="16.7109375" style="2" customWidth="1"/>
    <col min="11279" max="11524" width="9.140625" style="2"/>
    <col min="11525" max="11525" width="4.7109375" style="2" customWidth="1"/>
    <col min="11526" max="11526" width="26.7109375" style="2" customWidth="1"/>
    <col min="11527" max="11534" width="16.7109375" style="2" customWidth="1"/>
    <col min="11535" max="11780" width="9.140625" style="2"/>
    <col min="11781" max="11781" width="4.7109375" style="2" customWidth="1"/>
    <col min="11782" max="11782" width="26.7109375" style="2" customWidth="1"/>
    <col min="11783" max="11790" width="16.7109375" style="2" customWidth="1"/>
    <col min="11791" max="12036" width="9.140625" style="2"/>
    <col min="12037" max="12037" width="4.7109375" style="2" customWidth="1"/>
    <col min="12038" max="12038" width="26.7109375" style="2" customWidth="1"/>
    <col min="12039" max="12046" width="16.7109375" style="2" customWidth="1"/>
    <col min="12047" max="12292" width="9.140625" style="2"/>
    <col min="12293" max="12293" width="4.7109375" style="2" customWidth="1"/>
    <col min="12294" max="12294" width="26.7109375" style="2" customWidth="1"/>
    <col min="12295" max="12302" width="16.7109375" style="2" customWidth="1"/>
    <col min="12303" max="12548" width="9.140625" style="2"/>
    <col min="12549" max="12549" width="4.7109375" style="2" customWidth="1"/>
    <col min="12550" max="12550" width="26.7109375" style="2" customWidth="1"/>
    <col min="12551" max="12558" width="16.7109375" style="2" customWidth="1"/>
    <col min="12559" max="12804" width="9.140625" style="2"/>
    <col min="12805" max="12805" width="4.7109375" style="2" customWidth="1"/>
    <col min="12806" max="12806" width="26.7109375" style="2" customWidth="1"/>
    <col min="12807" max="12814" width="16.7109375" style="2" customWidth="1"/>
    <col min="12815" max="13060" width="9.140625" style="2"/>
    <col min="13061" max="13061" width="4.7109375" style="2" customWidth="1"/>
    <col min="13062" max="13062" width="26.7109375" style="2" customWidth="1"/>
    <col min="13063" max="13070" width="16.7109375" style="2" customWidth="1"/>
    <col min="13071" max="13316" width="9.140625" style="2"/>
    <col min="13317" max="13317" width="4.7109375" style="2" customWidth="1"/>
    <col min="13318" max="13318" width="26.7109375" style="2" customWidth="1"/>
    <col min="13319" max="13326" width="16.7109375" style="2" customWidth="1"/>
    <col min="13327" max="13572" width="9.140625" style="2"/>
    <col min="13573" max="13573" width="4.7109375" style="2" customWidth="1"/>
    <col min="13574" max="13574" width="26.7109375" style="2" customWidth="1"/>
    <col min="13575" max="13582" width="16.7109375" style="2" customWidth="1"/>
    <col min="13583" max="13828" width="9.140625" style="2"/>
    <col min="13829" max="13829" width="4.7109375" style="2" customWidth="1"/>
    <col min="13830" max="13830" width="26.7109375" style="2" customWidth="1"/>
    <col min="13831" max="13838" width="16.7109375" style="2" customWidth="1"/>
    <col min="13839" max="14084" width="9.140625" style="2"/>
    <col min="14085" max="14085" width="4.7109375" style="2" customWidth="1"/>
    <col min="14086" max="14086" width="26.7109375" style="2" customWidth="1"/>
    <col min="14087" max="14094" width="16.7109375" style="2" customWidth="1"/>
    <col min="14095" max="14340" width="9.140625" style="2"/>
    <col min="14341" max="14341" width="4.7109375" style="2" customWidth="1"/>
    <col min="14342" max="14342" width="26.7109375" style="2" customWidth="1"/>
    <col min="14343" max="14350" width="16.7109375" style="2" customWidth="1"/>
    <col min="14351" max="14596" width="9.140625" style="2"/>
    <col min="14597" max="14597" width="4.7109375" style="2" customWidth="1"/>
    <col min="14598" max="14598" width="26.7109375" style="2" customWidth="1"/>
    <col min="14599" max="14606" width="16.7109375" style="2" customWidth="1"/>
    <col min="14607" max="14852" width="9.140625" style="2"/>
    <col min="14853" max="14853" width="4.7109375" style="2" customWidth="1"/>
    <col min="14854" max="14854" width="26.7109375" style="2" customWidth="1"/>
    <col min="14855" max="14862" width="16.7109375" style="2" customWidth="1"/>
    <col min="14863" max="15108" width="9.140625" style="2"/>
    <col min="15109" max="15109" width="4.7109375" style="2" customWidth="1"/>
    <col min="15110" max="15110" width="26.7109375" style="2" customWidth="1"/>
    <col min="15111" max="15118" width="16.7109375" style="2" customWidth="1"/>
    <col min="15119" max="15364" width="9.140625" style="2"/>
    <col min="15365" max="15365" width="4.7109375" style="2" customWidth="1"/>
    <col min="15366" max="15366" width="26.7109375" style="2" customWidth="1"/>
    <col min="15367" max="15374" width="16.7109375" style="2" customWidth="1"/>
    <col min="15375" max="15620" width="9.140625" style="2"/>
    <col min="15621" max="15621" width="4.7109375" style="2" customWidth="1"/>
    <col min="15622" max="15622" width="26.7109375" style="2" customWidth="1"/>
    <col min="15623" max="15630" width="16.7109375" style="2" customWidth="1"/>
    <col min="15631" max="15876" width="9.140625" style="2"/>
    <col min="15877" max="15877" width="4.7109375" style="2" customWidth="1"/>
    <col min="15878" max="15878" width="26.7109375" style="2" customWidth="1"/>
    <col min="15879" max="15886" width="16.7109375" style="2" customWidth="1"/>
    <col min="15887" max="16132" width="9.140625" style="2"/>
    <col min="16133" max="16133" width="4.7109375" style="2" customWidth="1"/>
    <col min="16134" max="16134" width="26.7109375" style="2" customWidth="1"/>
    <col min="16135" max="16142" width="16.7109375" style="2" customWidth="1"/>
    <col min="16143" max="16384" width="9.140625" style="2"/>
  </cols>
  <sheetData>
    <row r="1" spans="2:27" ht="19.5" customHeight="1" x14ac:dyDescent="0.2">
      <c r="B1" s="5" t="s">
        <v>0</v>
      </c>
      <c r="F1" s="22"/>
      <c r="H1" s="40"/>
      <c r="J1" s="40"/>
      <c r="K1" s="6"/>
      <c r="L1" s="6"/>
      <c r="M1" s="6"/>
      <c r="N1" s="91"/>
      <c r="O1" s="91"/>
      <c r="P1" s="91"/>
      <c r="Q1" s="246"/>
      <c r="R1" s="91"/>
      <c r="S1" s="91"/>
      <c r="T1" s="91"/>
      <c r="U1" s="91"/>
    </row>
    <row r="2" spans="2:27" ht="15.75" x14ac:dyDescent="0.2">
      <c r="B2" s="8" t="s">
        <v>272</v>
      </c>
      <c r="M2" s="2" t="s">
        <v>324</v>
      </c>
      <c r="N2" s="6" t="s">
        <v>323</v>
      </c>
      <c r="O2" s="6" t="s">
        <v>240</v>
      </c>
      <c r="P2" s="6" t="s">
        <v>241</v>
      </c>
      <c r="Q2" s="42" t="s">
        <v>240</v>
      </c>
      <c r="R2" s="6"/>
      <c r="S2" s="6"/>
      <c r="T2" s="6"/>
      <c r="U2" s="6"/>
    </row>
    <row r="3" spans="2:27" ht="15.75" x14ac:dyDescent="0.2">
      <c r="B3" s="8"/>
      <c r="L3" s="80"/>
      <c r="M3" s="80"/>
      <c r="N3" s="2" t="s">
        <v>273</v>
      </c>
      <c r="O3" s="48"/>
      <c r="P3" s="172"/>
      <c r="Q3" s="172"/>
      <c r="R3" s="172"/>
      <c r="S3" s="172"/>
      <c r="T3" s="172"/>
      <c r="U3" s="172"/>
    </row>
    <row r="4" spans="2:27" ht="27" x14ac:dyDescent="0.2">
      <c r="B4" s="8"/>
      <c r="D4" s="9" t="s">
        <v>27</v>
      </c>
      <c r="E4" s="9" t="s">
        <v>28</v>
      </c>
      <c r="F4" s="9" t="s">
        <v>32</v>
      </c>
      <c r="G4" s="9" t="s">
        <v>43</v>
      </c>
      <c r="H4" s="9" t="s">
        <v>47</v>
      </c>
      <c r="I4" s="9" t="s">
        <v>48</v>
      </c>
      <c r="J4" s="9" t="s">
        <v>53</v>
      </c>
      <c r="K4" s="9" t="s">
        <v>73</v>
      </c>
      <c r="L4" s="55" t="s">
        <v>132</v>
      </c>
      <c r="M4" s="55" t="s">
        <v>243</v>
      </c>
      <c r="N4" s="37" t="s">
        <v>245</v>
      </c>
      <c r="O4" s="55" t="s">
        <v>244</v>
      </c>
      <c r="P4" s="55" t="s">
        <v>239</v>
      </c>
      <c r="Q4" s="251" t="s">
        <v>250</v>
      </c>
      <c r="R4" s="55" t="s">
        <v>274</v>
      </c>
      <c r="S4" s="55" t="s">
        <v>275</v>
      </c>
      <c r="T4" s="55" t="s">
        <v>276</v>
      </c>
      <c r="U4" s="55" t="s">
        <v>277</v>
      </c>
    </row>
    <row r="5" spans="2:27" ht="13.5" x14ac:dyDescent="0.2">
      <c r="B5" s="340" t="s">
        <v>51</v>
      </c>
      <c r="C5" s="340"/>
      <c r="D5" s="45">
        <v>4400</v>
      </c>
      <c r="E5" s="45">
        <v>4448</v>
      </c>
      <c r="F5" s="45">
        <v>5077</v>
      </c>
      <c r="G5" s="45">
        <v>5012</v>
      </c>
      <c r="H5" s="45">
        <v>5021</v>
      </c>
      <c r="I5" s="45">
        <v>5063</v>
      </c>
      <c r="J5" s="45">
        <v>5172</v>
      </c>
      <c r="K5" s="47">
        <v>5201</v>
      </c>
      <c r="L5" s="45">
        <v>6199</v>
      </c>
      <c r="M5" s="45">
        <v>6275</v>
      </c>
      <c r="N5" s="45">
        <v>6332</v>
      </c>
      <c r="O5" s="45">
        <v>6332</v>
      </c>
      <c r="P5" s="45">
        <v>6341</v>
      </c>
      <c r="Q5" s="266">
        <v>6332</v>
      </c>
      <c r="R5" s="45">
        <v>6332</v>
      </c>
      <c r="S5" s="45">
        <v>6332</v>
      </c>
      <c r="T5" s="45">
        <v>6332</v>
      </c>
      <c r="U5" s="45">
        <v>6332</v>
      </c>
    </row>
    <row r="6" spans="2:27" ht="13.5" x14ac:dyDescent="0.2">
      <c r="B6" s="341" t="s">
        <v>8</v>
      </c>
      <c r="C6" s="342"/>
      <c r="D6" s="10">
        <v>0</v>
      </c>
      <c r="E6" s="10">
        <f t="shared" ref="E6:M6" si="0">+D71</f>
        <v>5191793.4799999967</v>
      </c>
      <c r="F6" s="10">
        <f t="shared" si="0"/>
        <v>8616585.2099999972</v>
      </c>
      <c r="G6" s="10">
        <f t="shared" si="0"/>
        <v>14666165.300000008</v>
      </c>
      <c r="H6" s="10">
        <f t="shared" si="0"/>
        <v>18988244.470000014</v>
      </c>
      <c r="I6" s="10">
        <f t="shared" si="0"/>
        <v>26288749.090000018</v>
      </c>
      <c r="J6" s="10">
        <f t="shared" si="0"/>
        <v>28317670.220000021</v>
      </c>
      <c r="K6" s="10">
        <f>26480651.22</f>
        <v>26480651.219999999</v>
      </c>
      <c r="L6" s="10">
        <f t="shared" si="0"/>
        <v>28164319.410000019</v>
      </c>
      <c r="M6" s="10">
        <f t="shared" si="0"/>
        <v>32536185.010000028</v>
      </c>
      <c r="N6" s="10">
        <f>+M71</f>
        <v>33399992.820000023</v>
      </c>
      <c r="O6" s="10">
        <f>N6</f>
        <v>33399992.820000023</v>
      </c>
      <c r="P6" s="10">
        <f>O6</f>
        <v>33399992.820000023</v>
      </c>
      <c r="Q6" s="253">
        <f>N71</f>
        <v>32446931.378269263</v>
      </c>
      <c r="R6" s="10">
        <f>Q71</f>
        <v>31434929.644360632</v>
      </c>
      <c r="S6" s="10">
        <f t="shared" ref="S6:U6" si="1">R71</f>
        <v>30601645.088769853</v>
      </c>
      <c r="T6" s="10">
        <f t="shared" si="1"/>
        <v>30380432.184081145</v>
      </c>
      <c r="U6" s="10">
        <f t="shared" si="1"/>
        <v>30861057.155780248</v>
      </c>
    </row>
    <row r="7" spans="2:27" x14ac:dyDescent="0.2">
      <c r="K7" s="6"/>
      <c r="Q7" s="260"/>
    </row>
    <row r="8" spans="2:27" x14ac:dyDescent="0.2">
      <c r="B8" s="70" t="s">
        <v>1</v>
      </c>
      <c r="C8" s="70"/>
      <c r="D8" s="11"/>
      <c r="E8" s="11"/>
      <c r="F8" s="11"/>
      <c r="G8" s="11"/>
      <c r="H8" s="11"/>
      <c r="I8" s="12"/>
      <c r="J8" s="24"/>
      <c r="K8" s="24"/>
      <c r="L8" s="60"/>
      <c r="M8" s="97"/>
      <c r="N8" s="38"/>
      <c r="O8" s="97"/>
      <c r="P8" s="97"/>
      <c r="Q8" s="267">
        <v>0.05</v>
      </c>
      <c r="R8" s="233">
        <v>0.06</v>
      </c>
      <c r="S8" s="233">
        <v>7.0000000000000007E-2</v>
      </c>
      <c r="T8" s="233">
        <v>7.0000000000000007E-2</v>
      </c>
      <c r="U8" s="233">
        <v>7.0000000000000007E-2</v>
      </c>
    </row>
    <row r="9" spans="2:27" s="1" customFormat="1" x14ac:dyDescent="0.2">
      <c r="B9" s="64">
        <v>6999</v>
      </c>
      <c r="C9" s="219" t="s">
        <v>118</v>
      </c>
      <c r="D9" s="199">
        <v>26035368</v>
      </c>
      <c r="E9" s="200">
        <v>28567618.729999997</v>
      </c>
      <c r="F9" s="200">
        <v>34457014.150000006</v>
      </c>
      <c r="G9" s="200">
        <v>36065655.250000007</v>
      </c>
      <c r="H9" s="200">
        <v>37587352.740000002</v>
      </c>
      <c r="I9" s="200">
        <v>38519955.420000002</v>
      </c>
      <c r="J9" s="200">
        <v>40774492.359999999</v>
      </c>
      <c r="K9" s="200">
        <v>42401705.530000001</v>
      </c>
      <c r="L9" s="200">
        <v>50296735.619999997</v>
      </c>
      <c r="M9" s="13">
        <v>48189940.350000001</v>
      </c>
      <c r="N9" s="13">
        <v>53878691.640000001</v>
      </c>
      <c r="O9" s="242">
        <v>55875290.759999998</v>
      </c>
      <c r="P9" s="242">
        <v>55002327.359999999</v>
      </c>
      <c r="Q9" s="262">
        <f>N9*(1+Q8)</f>
        <v>56572626.222000003</v>
      </c>
      <c r="R9" s="237">
        <f>Q9*1.06</f>
        <v>59966983.795320004</v>
      </c>
      <c r="S9" s="237">
        <f>R9*1.07</f>
        <v>64164672.660992406</v>
      </c>
      <c r="T9" s="237">
        <f t="shared" ref="T9:U9" si="2">S9*1.07</f>
        <v>68656199.747261882</v>
      </c>
      <c r="U9" s="237">
        <f t="shared" si="2"/>
        <v>73462133.729570225</v>
      </c>
      <c r="V9" s="303"/>
      <c r="AA9" s="42"/>
    </row>
    <row r="10" spans="2:27" hidden="1" x14ac:dyDescent="0.2">
      <c r="B10" s="195">
        <v>9000</v>
      </c>
      <c r="C10" s="219" t="s">
        <v>76</v>
      </c>
      <c r="D10" s="71">
        <v>89240.7</v>
      </c>
      <c r="E10" s="4">
        <v>98742.669999999984</v>
      </c>
      <c r="F10" s="4">
        <v>117045.47999999998</v>
      </c>
      <c r="G10" s="4">
        <v>127863.91</v>
      </c>
      <c r="H10" s="4">
        <v>126531.86</v>
      </c>
      <c r="I10" s="4">
        <v>131974.20000000001</v>
      </c>
      <c r="J10" s="4">
        <v>145643.24</v>
      </c>
      <c r="K10" s="4">
        <v>150959.06</v>
      </c>
      <c r="L10" s="4">
        <v>150527.92000000001</v>
      </c>
      <c r="M10" s="4">
        <v>0</v>
      </c>
      <c r="N10" s="4">
        <v>0</v>
      </c>
      <c r="O10" s="4">
        <v>0</v>
      </c>
      <c r="P10" s="4">
        <v>0</v>
      </c>
      <c r="Q10" s="255">
        <v>0</v>
      </c>
      <c r="R10" s="237">
        <f t="shared" ref="R10:R16" si="3">Q10*1.06</f>
        <v>0</v>
      </c>
      <c r="S10" s="237">
        <f t="shared" ref="S10:U10" si="4">R10*1.07</f>
        <v>0</v>
      </c>
      <c r="T10" s="237">
        <f t="shared" si="4"/>
        <v>0</v>
      </c>
      <c r="U10" s="237">
        <f t="shared" si="4"/>
        <v>0</v>
      </c>
      <c r="AA10" s="42"/>
    </row>
    <row r="11" spans="2:27" s="1" customFormat="1" x14ac:dyDescent="0.2">
      <c r="B11" s="112">
        <v>9020</v>
      </c>
      <c r="C11" s="219" t="s">
        <v>2</v>
      </c>
      <c r="D11" s="203">
        <v>6865.5</v>
      </c>
      <c r="E11" s="201">
        <v>4173.71</v>
      </c>
      <c r="F11" s="201">
        <v>7726.920000000001</v>
      </c>
      <c r="G11" s="201">
        <v>12640.97</v>
      </c>
      <c r="H11" s="201">
        <v>13526.089999999998</v>
      </c>
      <c r="I11" s="201">
        <v>16533.02</v>
      </c>
      <c r="J11" s="201">
        <v>17702.150000000001</v>
      </c>
      <c r="K11" s="201">
        <v>21937.59</v>
      </c>
      <c r="L11" s="201">
        <v>465101.13999999996</v>
      </c>
      <c r="M11" s="4">
        <v>323004.24</v>
      </c>
      <c r="N11" s="4">
        <v>45579.58</v>
      </c>
      <c r="O11" s="4">
        <v>0</v>
      </c>
      <c r="P11" s="4">
        <v>0</v>
      </c>
      <c r="Q11" s="255">
        <f>Q6*0.5%</f>
        <v>162234.65689134633</v>
      </c>
      <c r="R11" s="4">
        <f t="shared" ref="R11:U11" si="5">R6*1%</f>
        <v>314349.29644360632</v>
      </c>
      <c r="S11" s="4">
        <f t="shared" si="5"/>
        <v>306016.45088769856</v>
      </c>
      <c r="T11" s="4">
        <f t="shared" si="5"/>
        <v>303804.32184081146</v>
      </c>
      <c r="U11" s="4">
        <f t="shared" si="5"/>
        <v>308610.5715578025</v>
      </c>
      <c r="V11" s="303" t="s">
        <v>317</v>
      </c>
      <c r="AA11" s="42"/>
    </row>
    <row r="12" spans="2:27" s="1" customFormat="1" x14ac:dyDescent="0.2">
      <c r="B12" s="32">
        <v>9010</v>
      </c>
      <c r="C12" s="219" t="s">
        <v>24</v>
      </c>
      <c r="D12" s="206">
        <v>0</v>
      </c>
      <c r="E12" s="202">
        <v>445885.82999999996</v>
      </c>
      <c r="F12" s="201">
        <v>254848.24000000002</v>
      </c>
      <c r="G12" s="202">
        <v>274763.58</v>
      </c>
      <c r="H12" s="201">
        <v>686015.03</v>
      </c>
      <c r="I12" s="201">
        <v>709434.35</v>
      </c>
      <c r="J12" s="201">
        <v>1627727.17</v>
      </c>
      <c r="K12" s="201">
        <v>1739007.36</v>
      </c>
      <c r="L12" s="202">
        <v>1597414.28</v>
      </c>
      <c r="M12" s="237">
        <v>1975716.32</v>
      </c>
      <c r="N12" s="237">
        <v>1236306.07</v>
      </c>
      <c r="O12" s="237">
        <v>1400000</v>
      </c>
      <c r="P12" s="237">
        <v>1700000</v>
      </c>
      <c r="Q12" s="262">
        <v>1700000</v>
      </c>
      <c r="R12" s="237">
        <v>1700000</v>
      </c>
      <c r="S12" s="237">
        <v>1700000</v>
      </c>
      <c r="T12" s="237">
        <v>1700000</v>
      </c>
      <c r="U12" s="237">
        <v>1700000</v>
      </c>
      <c r="V12" s="303"/>
      <c r="AA12" s="281"/>
    </row>
    <row r="13" spans="2:27" x14ac:dyDescent="0.2">
      <c r="B13" s="32">
        <v>9040</v>
      </c>
      <c r="C13" s="219" t="s">
        <v>25</v>
      </c>
      <c r="D13" s="71">
        <v>0</v>
      </c>
      <c r="E13" s="4">
        <v>0</v>
      </c>
      <c r="F13" s="4">
        <v>1055847.9700000002</v>
      </c>
      <c r="G13" s="4">
        <v>75613.279999999999</v>
      </c>
      <c r="H13" s="4">
        <v>185043.15</v>
      </c>
      <c r="I13" s="4">
        <v>242573.7</v>
      </c>
      <c r="J13" s="4">
        <v>431.14</v>
      </c>
      <c r="K13" s="4">
        <v>458515.66</v>
      </c>
      <c r="L13" s="4">
        <v>3451.4</v>
      </c>
      <c r="M13" s="4">
        <v>29295.279999999999</v>
      </c>
      <c r="N13" s="4">
        <v>0</v>
      </c>
      <c r="O13" s="4">
        <v>0</v>
      </c>
      <c r="P13" s="4">
        <v>0</v>
      </c>
      <c r="Q13" s="255">
        <v>0</v>
      </c>
      <c r="R13" s="237">
        <f t="shared" si="3"/>
        <v>0</v>
      </c>
      <c r="S13" s="237">
        <f t="shared" ref="S13:U13" si="6">R13*1.07</f>
        <v>0</v>
      </c>
      <c r="T13" s="237">
        <f t="shared" si="6"/>
        <v>0</v>
      </c>
      <c r="U13" s="237">
        <f t="shared" si="6"/>
        <v>0</v>
      </c>
      <c r="V13" s="302" t="s">
        <v>314</v>
      </c>
      <c r="AA13" s="42"/>
    </row>
    <row r="14" spans="2:27" x14ac:dyDescent="0.2">
      <c r="B14" s="32">
        <v>9035</v>
      </c>
      <c r="C14" s="219" t="s">
        <v>119</v>
      </c>
      <c r="D14" s="71">
        <v>0</v>
      </c>
      <c r="E14" s="71">
        <v>0</v>
      </c>
      <c r="F14" s="71">
        <v>0</v>
      </c>
      <c r="G14" s="71">
        <v>0</v>
      </c>
      <c r="H14" s="71">
        <v>0</v>
      </c>
      <c r="I14" s="71">
        <v>0</v>
      </c>
      <c r="J14" s="71">
        <v>0</v>
      </c>
      <c r="K14" s="71">
        <v>5400.26</v>
      </c>
      <c r="L14" s="71">
        <v>0</v>
      </c>
      <c r="M14" s="71">
        <v>30072.66</v>
      </c>
      <c r="N14" s="71">
        <v>0</v>
      </c>
      <c r="O14" s="71">
        <v>0</v>
      </c>
      <c r="P14" s="71">
        <v>0</v>
      </c>
      <c r="Q14" s="268">
        <v>0</v>
      </c>
      <c r="R14" s="237">
        <f t="shared" si="3"/>
        <v>0</v>
      </c>
      <c r="S14" s="237">
        <f t="shared" ref="S14:U14" si="7">R14*1.07</f>
        <v>0</v>
      </c>
      <c r="T14" s="237">
        <f t="shared" si="7"/>
        <v>0</v>
      </c>
      <c r="U14" s="237">
        <f t="shared" si="7"/>
        <v>0</v>
      </c>
      <c r="V14" s="302" t="s">
        <v>314</v>
      </c>
      <c r="AA14" s="42"/>
    </row>
    <row r="15" spans="2:27" s="1" customFormat="1" x14ac:dyDescent="0.2">
      <c r="B15" s="195">
        <v>9030</v>
      </c>
      <c r="C15" s="219" t="s">
        <v>3</v>
      </c>
      <c r="D15" s="203">
        <v>339872.8</v>
      </c>
      <c r="E15" s="201">
        <v>308233.39</v>
      </c>
      <c r="F15" s="201">
        <v>172894.5</v>
      </c>
      <c r="G15" s="201">
        <v>6825.3399999999992</v>
      </c>
      <c r="H15" s="201">
        <v>1991.5500000000002</v>
      </c>
      <c r="I15" s="201">
        <v>5091.3500000000004</v>
      </c>
      <c r="J15" s="201">
        <v>279.82</v>
      </c>
      <c r="K15" s="201">
        <v>0</v>
      </c>
      <c r="L15" s="201">
        <f>10640.45+2500</f>
        <v>13140.45</v>
      </c>
      <c r="M15" s="4">
        <v>0</v>
      </c>
      <c r="N15" s="4">
        <v>0</v>
      </c>
      <c r="O15" s="4">
        <v>5463.6</v>
      </c>
      <c r="P15" s="4">
        <v>5463.48</v>
      </c>
      <c r="Q15" s="255">
        <v>0</v>
      </c>
      <c r="R15" s="237">
        <f t="shared" si="3"/>
        <v>0</v>
      </c>
      <c r="S15" s="237">
        <f t="shared" ref="S15:U15" si="8">R15*1.07</f>
        <v>0</v>
      </c>
      <c r="T15" s="237">
        <f t="shared" si="8"/>
        <v>0</v>
      </c>
      <c r="U15" s="237">
        <f t="shared" si="8"/>
        <v>0</v>
      </c>
      <c r="V15" s="302" t="s">
        <v>314</v>
      </c>
      <c r="AA15" s="42"/>
    </row>
    <row r="16" spans="2:27" ht="13.5" hidden="1" x14ac:dyDescent="0.2">
      <c r="B16" s="49"/>
      <c r="C16" s="15" t="s">
        <v>16</v>
      </c>
      <c r="D16" s="72">
        <v>1223736</v>
      </c>
      <c r="E16" s="16">
        <v>3158.21</v>
      </c>
      <c r="F16" s="16">
        <v>2144.4899999999998</v>
      </c>
      <c r="G16" s="16">
        <v>0</v>
      </c>
      <c r="H16" s="16">
        <v>0</v>
      </c>
      <c r="I16" s="16">
        <v>0</v>
      </c>
      <c r="J16" s="16">
        <v>0</v>
      </c>
      <c r="K16" s="16">
        <v>0</v>
      </c>
      <c r="L16" s="16">
        <v>0</v>
      </c>
      <c r="M16" s="243"/>
      <c r="N16" s="243">
        <v>0</v>
      </c>
      <c r="O16" s="243">
        <v>0</v>
      </c>
      <c r="P16" s="243">
        <v>0</v>
      </c>
      <c r="Q16" s="269">
        <v>0</v>
      </c>
      <c r="R16" s="237">
        <f t="shared" si="3"/>
        <v>0</v>
      </c>
      <c r="S16" s="237">
        <f t="shared" ref="S16:U16" si="9">R16*1.07</f>
        <v>0</v>
      </c>
      <c r="T16" s="237">
        <f t="shared" si="9"/>
        <v>0</v>
      </c>
      <c r="U16" s="237">
        <f t="shared" si="9"/>
        <v>0</v>
      </c>
      <c r="AA16" s="42"/>
    </row>
    <row r="17" spans="1:27" ht="12.75" customHeight="1" x14ac:dyDescent="0.2">
      <c r="B17" s="347" t="s">
        <v>11</v>
      </c>
      <c r="C17" s="347"/>
      <c r="D17" s="73">
        <f t="shared" ref="D17:N17" si="10">SUM(D9:D16)</f>
        <v>27695083</v>
      </c>
      <c r="E17" s="66">
        <f t="shared" si="10"/>
        <v>29427812.539999999</v>
      </c>
      <c r="F17" s="66">
        <f t="shared" si="10"/>
        <v>36067521.750000007</v>
      </c>
      <c r="G17" s="66">
        <f t="shared" si="10"/>
        <v>36563362.330000006</v>
      </c>
      <c r="H17" s="66">
        <f t="shared" si="10"/>
        <v>38600460.420000002</v>
      </c>
      <c r="I17" s="66">
        <f t="shared" si="10"/>
        <v>39625562.040000014</v>
      </c>
      <c r="J17" s="66">
        <f t="shared" si="10"/>
        <v>42566275.880000003</v>
      </c>
      <c r="K17" s="66">
        <f t="shared" si="10"/>
        <v>44777525.460000001</v>
      </c>
      <c r="L17" s="66">
        <f t="shared" si="10"/>
        <v>52526370.810000002</v>
      </c>
      <c r="M17" s="66">
        <f t="shared" si="10"/>
        <v>50548028.850000001</v>
      </c>
      <c r="N17" s="66">
        <f t="shared" si="10"/>
        <v>55160577.289999999</v>
      </c>
      <c r="O17" s="66">
        <f t="shared" ref="O17:U17" si="11">SUM(O9:O16)</f>
        <v>57280754.359999999</v>
      </c>
      <c r="P17" s="66">
        <f t="shared" si="11"/>
        <v>56707790.839999996</v>
      </c>
      <c r="Q17" s="270">
        <f t="shared" si="11"/>
        <v>58434860.878891349</v>
      </c>
      <c r="R17" s="113">
        <f t="shared" si="11"/>
        <v>61981333.091763608</v>
      </c>
      <c r="S17" s="113">
        <f t="shared" si="11"/>
        <v>66170689.111880101</v>
      </c>
      <c r="T17" s="113">
        <f t="shared" si="11"/>
        <v>70660004.06910269</v>
      </c>
      <c r="U17" s="113">
        <f t="shared" si="11"/>
        <v>75470744.30112803</v>
      </c>
      <c r="V17" s="304"/>
      <c r="AA17" s="42"/>
    </row>
    <row r="18" spans="1:27" ht="13.5" x14ac:dyDescent="0.2">
      <c r="B18" s="35" t="s">
        <v>4</v>
      </c>
      <c r="C18" s="17"/>
      <c r="D18" s="17"/>
      <c r="E18" s="17"/>
      <c r="F18" s="17"/>
      <c r="G18" s="17"/>
      <c r="H18" s="17"/>
      <c r="I18" s="17"/>
      <c r="J18" s="17"/>
      <c r="K18" s="17"/>
      <c r="L18" s="17"/>
      <c r="M18" s="198"/>
      <c r="N18" s="36"/>
      <c r="O18" s="168"/>
      <c r="P18" s="168"/>
      <c r="Q18" s="271"/>
      <c r="R18" s="216"/>
      <c r="S18" s="216"/>
      <c r="T18" s="216"/>
      <c r="U18" s="216"/>
    </row>
    <row r="19" spans="1:27" s="1" customFormat="1" x14ac:dyDescent="0.2">
      <c r="A19" s="355">
        <v>1</v>
      </c>
      <c r="B19" s="195">
        <v>8090</v>
      </c>
      <c r="C19" s="218" t="s">
        <v>18</v>
      </c>
      <c r="D19" s="200">
        <v>15587829.029999999</v>
      </c>
      <c r="E19" s="200">
        <v>18085105.629999999</v>
      </c>
      <c r="F19" s="200">
        <v>21606445.390000001</v>
      </c>
      <c r="G19" s="200">
        <v>22603649.969999999</v>
      </c>
      <c r="H19" s="200">
        <v>20922951.789999999</v>
      </c>
      <c r="I19" s="200">
        <v>25063338.280000001</v>
      </c>
      <c r="J19" s="200">
        <v>26296546.23</v>
      </c>
      <c r="K19" s="200">
        <v>29703463.949999999</v>
      </c>
      <c r="L19" s="200">
        <v>31928669.770000003</v>
      </c>
      <c r="M19" s="13">
        <v>32826396.100000001</v>
      </c>
      <c r="N19" s="13">
        <v>37412928.789999999</v>
      </c>
      <c r="O19" s="13">
        <v>39058334.439999998</v>
      </c>
      <c r="P19" s="13">
        <v>38838424.200000003</v>
      </c>
      <c r="Q19" s="262">
        <f>ROUND(N19*(1+V19),2)</f>
        <v>39283575.229999997</v>
      </c>
      <c r="R19" s="4">
        <f>Q19*1.05</f>
        <v>41247753.991499998</v>
      </c>
      <c r="S19" s="4">
        <f t="shared" ref="S19:U19" si="12">R19*1.05</f>
        <v>43310141.691074997</v>
      </c>
      <c r="T19" s="4">
        <f t="shared" si="12"/>
        <v>45475648.775628746</v>
      </c>
      <c r="U19" s="4">
        <f t="shared" si="12"/>
        <v>47749431.214410186</v>
      </c>
      <c r="V19" s="303">
        <v>0.05</v>
      </c>
      <c r="AA19" s="280"/>
    </row>
    <row r="20" spans="1:27" s="1" customFormat="1" x14ac:dyDescent="0.2">
      <c r="A20" s="355"/>
      <c r="B20" s="195">
        <v>3500</v>
      </c>
      <c r="C20" s="218" t="s">
        <v>20</v>
      </c>
      <c r="D20" s="200"/>
      <c r="E20" s="200"/>
      <c r="F20" s="200"/>
      <c r="G20" s="200"/>
      <c r="H20" s="200"/>
      <c r="I20" s="200"/>
      <c r="J20" s="200"/>
      <c r="K20" s="200"/>
      <c r="L20" s="200"/>
      <c r="M20" s="13"/>
      <c r="N20" s="4">
        <f>(N19/52)-(M19/52)</f>
        <v>88202.551730769221</v>
      </c>
      <c r="O20" s="13"/>
      <c r="P20" s="13"/>
      <c r="Q20" s="262">
        <f>ROUND((Q19/52)-(N19/52),2)</f>
        <v>35973.97</v>
      </c>
      <c r="R20" s="4">
        <f>(R19/52)-(Q19/52)</f>
        <v>37772.668490384589</v>
      </c>
      <c r="S20" s="4">
        <f t="shared" ref="S20:U20" si="13">(S19/52)-(R19/52)</f>
        <v>39661.301914903917</v>
      </c>
      <c r="T20" s="4">
        <f t="shared" si="13"/>
        <v>41644.367010648944</v>
      </c>
      <c r="U20" s="4">
        <f t="shared" si="13"/>
        <v>43726.585361181526</v>
      </c>
      <c r="V20" s="303"/>
      <c r="W20" s="208" t="s">
        <v>297</v>
      </c>
      <c r="AA20" s="280"/>
    </row>
    <row r="21" spans="1:27" s="1" customFormat="1" x14ac:dyDescent="0.2">
      <c r="A21" s="355"/>
      <c r="B21" s="195">
        <v>8120</v>
      </c>
      <c r="C21" s="219" t="s">
        <v>120</v>
      </c>
      <c r="D21" s="201">
        <v>6504972.4299999997</v>
      </c>
      <c r="E21" s="201">
        <v>6683363.2600000007</v>
      </c>
      <c r="F21" s="200">
        <v>6881127.6299999999</v>
      </c>
      <c r="G21" s="200">
        <v>7741246.2600000007</v>
      </c>
      <c r="H21" s="200">
        <v>8513468.25</v>
      </c>
      <c r="I21" s="200">
        <v>10645984.270000001</v>
      </c>
      <c r="J21" s="200">
        <v>11159793.129999999</v>
      </c>
      <c r="K21" s="200">
        <v>10863475.35</v>
      </c>
      <c r="L21" s="200">
        <v>12835335.59</v>
      </c>
      <c r="M21" s="13">
        <v>13931663.25</v>
      </c>
      <c r="N21" s="13">
        <v>15503539.560000001</v>
      </c>
      <c r="O21" s="13">
        <v>15355131</v>
      </c>
      <c r="P21" s="13">
        <v>15355131</v>
      </c>
      <c r="Q21" s="262">
        <f>ROUND(N21*(1+V21),2)</f>
        <v>16666305.029999999</v>
      </c>
      <c r="R21" s="4">
        <f>Q21*(1+$V21)</f>
        <v>17916277.907249998</v>
      </c>
      <c r="S21" s="4">
        <f t="shared" ref="S21:U22" si="14">R21*(1+$V21)</f>
        <v>19259998.750293747</v>
      </c>
      <c r="T21" s="4">
        <f t="shared" si="14"/>
        <v>20704498.656565778</v>
      </c>
      <c r="U21" s="4">
        <f t="shared" si="14"/>
        <v>22257336.055808209</v>
      </c>
      <c r="V21" s="305">
        <v>7.4999999999999997E-2</v>
      </c>
      <c r="AA21" s="280"/>
    </row>
    <row r="22" spans="1:27" s="1" customFormat="1" x14ac:dyDescent="0.2">
      <c r="A22" s="355"/>
      <c r="B22" s="195">
        <v>8121</v>
      </c>
      <c r="C22" s="219" t="s">
        <v>121</v>
      </c>
      <c r="D22" s="201">
        <v>0</v>
      </c>
      <c r="E22" s="201">
        <v>0</v>
      </c>
      <c r="F22" s="200">
        <v>0</v>
      </c>
      <c r="G22" s="200">
        <v>0</v>
      </c>
      <c r="H22" s="200">
        <v>0</v>
      </c>
      <c r="I22" s="200">
        <v>0</v>
      </c>
      <c r="J22" s="200">
        <v>0</v>
      </c>
      <c r="K22" s="200">
        <v>164063.29999999999</v>
      </c>
      <c r="L22" s="200">
        <v>173707</v>
      </c>
      <c r="M22" s="13">
        <v>131534.79999999999</v>
      </c>
      <c r="N22" s="13">
        <v>136359.6</v>
      </c>
      <c r="O22" s="13">
        <v>150108.45000000001</v>
      </c>
      <c r="P22" s="13">
        <v>150108.48000000001</v>
      </c>
      <c r="Q22" s="262">
        <f>ROUND(N22*(1+V22),2)</f>
        <v>146586.57</v>
      </c>
      <c r="R22" s="4">
        <f>Q22*(1+$V22)</f>
        <v>157580.56275000001</v>
      </c>
      <c r="S22" s="4">
        <f t="shared" si="14"/>
        <v>169399.10495625</v>
      </c>
      <c r="T22" s="4">
        <f t="shared" si="14"/>
        <v>182104.03782796874</v>
      </c>
      <c r="U22" s="4">
        <f t="shared" si="14"/>
        <v>195761.84066506638</v>
      </c>
      <c r="V22" s="305">
        <v>7.4999999999999997E-2</v>
      </c>
      <c r="AA22" s="280"/>
    </row>
    <row r="23" spans="1:27" x14ac:dyDescent="0.2">
      <c r="A23" s="355"/>
      <c r="B23" s="195">
        <v>8084</v>
      </c>
      <c r="C23" s="219" t="s">
        <v>44</v>
      </c>
      <c r="D23" s="4">
        <v>0</v>
      </c>
      <c r="E23" s="4">
        <v>0</v>
      </c>
      <c r="F23" s="4">
        <v>0</v>
      </c>
      <c r="G23" s="4">
        <v>8575</v>
      </c>
      <c r="H23" s="4">
        <v>6075</v>
      </c>
      <c r="I23" s="4">
        <v>6125</v>
      </c>
      <c r="J23" s="4">
        <v>6480</v>
      </c>
      <c r="K23" s="4">
        <v>600</v>
      </c>
      <c r="L23" s="4">
        <v>13270</v>
      </c>
      <c r="M23" s="4">
        <v>19453.86</v>
      </c>
      <c r="N23" s="4">
        <v>0</v>
      </c>
      <c r="O23" s="4">
        <v>15000</v>
      </c>
      <c r="P23" s="4">
        <v>15000</v>
      </c>
      <c r="Q23" s="262">
        <f>ROUND(M23*(1+$V23),2)</f>
        <v>20037.48</v>
      </c>
      <c r="R23" s="4">
        <f t="shared" ref="R23:U23" si="15">Q23*(1+$V23)</f>
        <v>20638.6044</v>
      </c>
      <c r="S23" s="4">
        <f t="shared" si="15"/>
        <v>21257.762532000001</v>
      </c>
      <c r="T23" s="4">
        <f t="shared" si="15"/>
        <v>21895.495407960003</v>
      </c>
      <c r="U23" s="4">
        <f t="shared" si="15"/>
        <v>22552.360270198802</v>
      </c>
      <c r="V23" s="303">
        <v>0.03</v>
      </c>
      <c r="W23" s="2" t="s">
        <v>315</v>
      </c>
      <c r="AA23" s="279"/>
    </row>
    <row r="24" spans="1:27" s="1" customFormat="1" x14ac:dyDescent="0.2">
      <c r="A24" s="361">
        <v>2</v>
      </c>
      <c r="B24" s="195">
        <v>8050</v>
      </c>
      <c r="C24" s="219" t="s">
        <v>42</v>
      </c>
      <c r="D24" s="201">
        <v>635499.09</v>
      </c>
      <c r="E24" s="201">
        <v>710466.2</v>
      </c>
      <c r="F24" s="201">
        <v>842848.88</v>
      </c>
      <c r="G24" s="201">
        <v>876163.65999999992</v>
      </c>
      <c r="H24" s="201">
        <v>912356.19000000006</v>
      </c>
      <c r="I24" s="201">
        <v>958835.65</v>
      </c>
      <c r="J24" s="201">
        <v>1015646.99</v>
      </c>
      <c r="K24" s="201">
        <v>1075976.23</v>
      </c>
      <c r="L24" s="201">
        <v>1278736.1300000001</v>
      </c>
      <c r="M24" s="4">
        <v>1389650.11</v>
      </c>
      <c r="N24" s="4">
        <v>1464216.67</v>
      </c>
      <c r="O24" s="4">
        <v>1440535.4</v>
      </c>
      <c r="P24" s="4">
        <v>1446769.8</v>
      </c>
      <c r="Q24" s="262">
        <f>ROUND(N24*(1+V24),2)</f>
        <v>1508143.17</v>
      </c>
      <c r="R24" s="4">
        <f>Q24*(1+$V24)</f>
        <v>1553387.4650999999</v>
      </c>
      <c r="S24" s="4">
        <f t="shared" ref="S24:U24" si="16">R24*(1+$V24)</f>
        <v>1599989.0890529999</v>
      </c>
      <c r="T24" s="4">
        <f t="shared" si="16"/>
        <v>1647988.7617245899</v>
      </c>
      <c r="U24" s="4">
        <f t="shared" si="16"/>
        <v>1697428.4245763277</v>
      </c>
      <c r="V24" s="303">
        <v>0.03</v>
      </c>
      <c r="AA24" s="280"/>
    </row>
    <row r="25" spans="1:27" ht="12.75" hidden="1" customHeight="1" x14ac:dyDescent="0.2">
      <c r="A25" s="361"/>
      <c r="B25" s="195">
        <v>8093</v>
      </c>
      <c r="C25" s="219" t="s">
        <v>131</v>
      </c>
      <c r="D25" s="4"/>
      <c r="E25" s="4"/>
      <c r="F25" s="4"/>
      <c r="G25" s="4"/>
      <c r="H25" s="4"/>
      <c r="I25" s="4"/>
      <c r="J25" s="4"/>
      <c r="K25" s="4">
        <v>6675.31</v>
      </c>
      <c r="L25" s="4">
        <v>2949.8400000000006</v>
      </c>
      <c r="M25" s="4">
        <v>0</v>
      </c>
      <c r="N25" s="4">
        <v>0</v>
      </c>
      <c r="O25" s="4">
        <v>0</v>
      </c>
      <c r="P25" s="4">
        <v>0</v>
      </c>
      <c r="Q25" s="255">
        <v>0</v>
      </c>
      <c r="R25" s="4">
        <f t="shared" ref="R25:U25" si="17">Q25*(1+$V25)</f>
        <v>0</v>
      </c>
      <c r="S25" s="4">
        <f t="shared" si="17"/>
        <v>0</v>
      </c>
      <c r="T25" s="4">
        <f t="shared" si="17"/>
        <v>0</v>
      </c>
      <c r="U25" s="4">
        <f t="shared" si="17"/>
        <v>0</v>
      </c>
      <c r="AA25" s="278"/>
    </row>
    <row r="26" spans="1:27" s="1" customFormat="1" x14ac:dyDescent="0.2">
      <c r="A26" s="361"/>
      <c r="B26" s="195">
        <v>8081</v>
      </c>
      <c r="C26" s="219" t="s">
        <v>19</v>
      </c>
      <c r="D26" s="201">
        <v>142368.35</v>
      </c>
      <c r="E26" s="201">
        <v>147748.57999999999</v>
      </c>
      <c r="F26" s="201">
        <v>73334.36</v>
      </c>
      <c r="G26" s="201">
        <v>79130</v>
      </c>
      <c r="H26" s="201">
        <v>85035</v>
      </c>
      <c r="I26" s="201">
        <v>81486</v>
      </c>
      <c r="J26" s="201">
        <v>83611.02</v>
      </c>
      <c r="K26" s="201">
        <v>85978.61</v>
      </c>
      <c r="L26" s="201">
        <v>173652.11</v>
      </c>
      <c r="M26" s="4">
        <v>207132</v>
      </c>
      <c r="N26" s="4">
        <v>212395.61</v>
      </c>
      <c r="O26" s="4">
        <v>0</v>
      </c>
      <c r="P26" s="4">
        <v>0</v>
      </c>
      <c r="Q26" s="262">
        <f>ROUND(N26*(1+V26),2)</f>
        <v>218767.48</v>
      </c>
      <c r="R26" s="4">
        <f t="shared" ref="R26:U27" si="18">Q26*(1+$V26)</f>
        <v>225330.50440000001</v>
      </c>
      <c r="S26" s="4">
        <f t="shared" si="18"/>
        <v>232090.419532</v>
      </c>
      <c r="T26" s="4">
        <f t="shared" si="18"/>
        <v>239053.13211796002</v>
      </c>
      <c r="U26" s="4">
        <f t="shared" si="18"/>
        <v>246224.72608149884</v>
      </c>
      <c r="V26" s="303">
        <v>0.03</v>
      </c>
      <c r="AA26" s="280"/>
    </row>
    <row r="27" spans="1:27" s="1" customFormat="1" x14ac:dyDescent="0.2">
      <c r="A27" s="355">
        <v>3</v>
      </c>
      <c r="B27" s="195">
        <v>8091</v>
      </c>
      <c r="C27" s="56" t="s">
        <v>184</v>
      </c>
      <c r="D27" s="202">
        <v>188960.03</v>
      </c>
      <c r="E27" s="202">
        <v>208358.96</v>
      </c>
      <c r="F27" s="202">
        <v>233822.97</v>
      </c>
      <c r="G27" s="202">
        <v>241281.61000000002</v>
      </c>
      <c r="H27" s="202">
        <v>237220.98</v>
      </c>
      <c r="I27" s="202">
        <v>259070.83999999997</v>
      </c>
      <c r="J27" s="202">
        <v>248694.28</v>
      </c>
      <c r="K27" s="202">
        <v>237399.66</v>
      </c>
      <c r="L27" s="202">
        <v>330434</v>
      </c>
      <c r="M27" s="237">
        <v>303866.81</v>
      </c>
      <c r="N27" s="237">
        <v>346522.08</v>
      </c>
      <c r="O27" s="237">
        <v>373317</v>
      </c>
      <c r="P27" s="237">
        <v>373317</v>
      </c>
      <c r="Q27" s="262">
        <f>ROUND(N27*(1+V27),2)</f>
        <v>363848.18</v>
      </c>
      <c r="R27" s="4">
        <f t="shared" si="18"/>
        <v>382040.58900000004</v>
      </c>
      <c r="S27" s="4">
        <f t="shared" si="18"/>
        <v>401142.61845000007</v>
      </c>
      <c r="T27" s="4">
        <f t="shared" si="18"/>
        <v>421199.74937250011</v>
      </c>
      <c r="U27" s="4">
        <f t="shared" si="18"/>
        <v>442259.73684112512</v>
      </c>
      <c r="V27" s="303">
        <v>0.05</v>
      </c>
      <c r="AA27" s="280"/>
    </row>
    <row r="28" spans="1:27" x14ac:dyDescent="0.2">
      <c r="A28" s="355"/>
      <c r="B28" s="195">
        <v>9061</v>
      </c>
      <c r="C28" s="56" t="s">
        <v>29</v>
      </c>
      <c r="D28" s="212">
        <v>0</v>
      </c>
      <c r="E28" s="212">
        <v>0</v>
      </c>
      <c r="F28" s="202">
        <v>4448</v>
      </c>
      <c r="G28" s="202">
        <v>10252.459999999999</v>
      </c>
      <c r="H28" s="202">
        <v>10431.200000000001</v>
      </c>
      <c r="I28" s="202">
        <v>10902.08</v>
      </c>
      <c r="J28" s="202">
        <v>11442.38</v>
      </c>
      <c r="K28" s="202">
        <v>12361.08</v>
      </c>
      <c r="L28" s="202">
        <v>12742.45</v>
      </c>
      <c r="M28" s="237">
        <v>15681.96</v>
      </c>
      <c r="N28" s="244">
        <v>16691.5</v>
      </c>
      <c r="O28" s="244">
        <v>17065.71</v>
      </c>
      <c r="P28" s="244">
        <v>17065.71</v>
      </c>
      <c r="Q28" s="272">
        <f>'ACA PCORI Fee'!I14</f>
        <v>17646.174000000003</v>
      </c>
      <c r="R28" s="244">
        <f>'ACA PCORI Fee'!I15</f>
        <v>18528.4827</v>
      </c>
      <c r="S28" s="244">
        <f>'ACA PCORI Fee'!I16</f>
        <v>19454.906835000002</v>
      </c>
      <c r="T28" s="244">
        <f>'ACA PCORI Fee'!I17</f>
        <v>20427.652176750002</v>
      </c>
      <c r="U28" s="244">
        <f>'ACA PCORI Fee'!I18</f>
        <v>21449.034785587504</v>
      </c>
      <c r="W28" s="2" t="s">
        <v>269</v>
      </c>
      <c r="AA28" s="278"/>
    </row>
    <row r="29" spans="1:27" s="1" customFormat="1" ht="12.75" hidden="1" customHeight="1" x14ac:dyDescent="0.2">
      <c r="A29" s="355"/>
      <c r="B29" s="195">
        <v>8115</v>
      </c>
      <c r="C29" s="286" t="s">
        <v>77</v>
      </c>
      <c r="D29" s="205" t="s">
        <v>13</v>
      </c>
      <c r="E29" s="205" t="s">
        <v>13</v>
      </c>
      <c r="F29" s="205" t="s">
        <v>13</v>
      </c>
      <c r="G29" s="204">
        <v>316764</v>
      </c>
      <c r="H29" s="204">
        <v>221320</v>
      </c>
      <c r="I29" s="204">
        <v>136512</v>
      </c>
      <c r="J29" s="204">
        <v>0</v>
      </c>
      <c r="K29" s="204">
        <v>0</v>
      </c>
      <c r="L29" s="204">
        <v>0</v>
      </c>
      <c r="M29" s="245">
        <v>0</v>
      </c>
      <c r="N29" s="245">
        <v>0</v>
      </c>
      <c r="O29" s="245">
        <v>0</v>
      </c>
      <c r="P29" s="245">
        <v>0</v>
      </c>
      <c r="Q29" s="255">
        <v>0</v>
      </c>
      <c r="R29" s="245"/>
      <c r="S29" s="245"/>
      <c r="T29" s="245"/>
      <c r="U29" s="245"/>
      <c r="V29" s="306"/>
      <c r="AA29" s="277"/>
    </row>
    <row r="30" spans="1:27" x14ac:dyDescent="0.2">
      <c r="A30" s="197">
        <v>4</v>
      </c>
      <c r="B30" s="195">
        <v>8110</v>
      </c>
      <c r="C30" s="219" t="s">
        <v>249</v>
      </c>
      <c r="D30" s="201">
        <v>0</v>
      </c>
      <c r="E30" s="201">
        <v>0</v>
      </c>
      <c r="F30" s="201">
        <v>0</v>
      </c>
      <c r="G30" s="201">
        <v>0</v>
      </c>
      <c r="H30" s="201">
        <v>0</v>
      </c>
      <c r="I30" s="201">
        <v>0</v>
      </c>
      <c r="J30" s="201">
        <v>669388.38</v>
      </c>
      <c r="K30" s="201">
        <v>448067.19</v>
      </c>
      <c r="L30" s="201">
        <v>639190.30000000005</v>
      </c>
      <c r="M30" s="4">
        <v>263487.43</v>
      </c>
      <c r="N30" s="4">
        <v>264860.09000000003</v>
      </c>
      <c r="O30" s="4">
        <v>373317.01</v>
      </c>
      <c r="P30" s="4">
        <v>373317.01</v>
      </c>
      <c r="Q30" s="262">
        <f>ROUND(N30*(1+V30),2)</f>
        <v>304589.09999999998</v>
      </c>
      <c r="R30" s="4">
        <f>Q30*(1+$V30)</f>
        <v>350277.46499999997</v>
      </c>
      <c r="S30" s="4">
        <f t="shared" ref="S30:U30" si="19">R30*(1+$V30)</f>
        <v>402819.08474999992</v>
      </c>
      <c r="T30" s="4">
        <f t="shared" si="19"/>
        <v>463241.9474624999</v>
      </c>
      <c r="U30" s="4">
        <f t="shared" si="19"/>
        <v>532728.2395818748</v>
      </c>
      <c r="V30" s="303">
        <v>0.15</v>
      </c>
      <c r="W30" s="1"/>
      <c r="AA30" s="279"/>
    </row>
    <row r="31" spans="1:27" s="1" customFormat="1" x14ac:dyDescent="0.2">
      <c r="A31" s="356">
        <v>5</v>
      </c>
      <c r="B31" s="195">
        <v>8000</v>
      </c>
      <c r="C31" s="219" t="s">
        <v>34</v>
      </c>
      <c r="D31" s="201">
        <v>0</v>
      </c>
      <c r="E31" s="201">
        <v>0</v>
      </c>
      <c r="F31" s="201">
        <v>0</v>
      </c>
      <c r="G31" s="201">
        <v>58599.479999999996</v>
      </c>
      <c r="H31" s="201">
        <v>23940</v>
      </c>
      <c r="I31" s="201">
        <v>20335</v>
      </c>
      <c r="J31" s="201">
        <v>19672.5</v>
      </c>
      <c r="K31" s="201">
        <v>25811.25</v>
      </c>
      <c r="L31" s="201">
        <v>20275</v>
      </c>
      <c r="M31" s="4">
        <v>17400</v>
      </c>
      <c r="N31" s="4">
        <v>30720</v>
      </c>
      <c r="O31" s="4">
        <v>25750</v>
      </c>
      <c r="P31" s="4">
        <v>25750</v>
      </c>
      <c r="Q31" s="255">
        <v>19000</v>
      </c>
      <c r="R31" s="4">
        <f>Q31*(1+$V31)</f>
        <v>19570</v>
      </c>
      <c r="S31" s="4">
        <f t="shared" ref="S31:U48" si="20">R31*(1+$V31)</f>
        <v>20157.100000000002</v>
      </c>
      <c r="T31" s="4">
        <f t="shared" si="20"/>
        <v>20761.813000000002</v>
      </c>
      <c r="U31" s="4">
        <f t="shared" si="20"/>
        <v>21384.667390000002</v>
      </c>
      <c r="V31" s="303">
        <v>0.03</v>
      </c>
      <c r="W31" s="1" t="s">
        <v>278</v>
      </c>
      <c r="X31" s="1" t="s">
        <v>302</v>
      </c>
      <c r="AA31" s="280"/>
    </row>
    <row r="32" spans="1:27" s="1" customFormat="1" x14ac:dyDescent="0.2">
      <c r="A32" s="356"/>
      <c r="B32" s="195">
        <v>8010</v>
      </c>
      <c r="C32" s="219" t="s">
        <v>33</v>
      </c>
      <c r="D32" s="201">
        <v>0</v>
      </c>
      <c r="E32" s="201">
        <v>0</v>
      </c>
      <c r="F32" s="201">
        <v>0</v>
      </c>
      <c r="G32" s="201">
        <v>10000</v>
      </c>
      <c r="H32" s="201">
        <v>10000</v>
      </c>
      <c r="I32" s="201">
        <v>18750</v>
      </c>
      <c r="J32" s="201">
        <v>14000</v>
      </c>
      <c r="K32" s="201">
        <v>16800</v>
      </c>
      <c r="L32" s="201">
        <v>46950</v>
      </c>
      <c r="M32" s="4">
        <v>39850</v>
      </c>
      <c r="N32" s="4">
        <v>20400</v>
      </c>
      <c r="O32" s="4">
        <v>53045</v>
      </c>
      <c r="P32" s="4">
        <v>15000</v>
      </c>
      <c r="Q32" s="255">
        <v>10000</v>
      </c>
      <c r="R32" s="4">
        <f>Q32</f>
        <v>10000</v>
      </c>
      <c r="S32" s="4">
        <f t="shared" ref="S32:U32" si="21">R32</f>
        <v>10000</v>
      </c>
      <c r="T32" s="4">
        <f t="shared" si="21"/>
        <v>10000</v>
      </c>
      <c r="U32" s="4">
        <f t="shared" si="21"/>
        <v>10000</v>
      </c>
      <c r="V32" s="306"/>
      <c r="W32" s="1" t="s">
        <v>278</v>
      </c>
      <c r="AA32" s="280"/>
    </row>
    <row r="33" spans="1:27" s="1" customFormat="1" x14ac:dyDescent="0.2">
      <c r="A33" s="356"/>
      <c r="B33" s="195">
        <v>8020</v>
      </c>
      <c r="C33" s="219" t="s">
        <v>129</v>
      </c>
      <c r="D33" s="201">
        <v>0</v>
      </c>
      <c r="E33" s="201">
        <v>12000</v>
      </c>
      <c r="F33" s="201">
        <v>37027.19</v>
      </c>
      <c r="G33" s="201">
        <v>29800</v>
      </c>
      <c r="H33" s="201">
        <v>50700</v>
      </c>
      <c r="I33" s="201">
        <v>74082.239999999991</v>
      </c>
      <c r="J33" s="201">
        <v>88027.62</v>
      </c>
      <c r="K33" s="201">
        <v>34325</v>
      </c>
      <c r="L33" s="202">
        <v>36300</v>
      </c>
      <c r="M33" s="237">
        <v>66875</v>
      </c>
      <c r="N33" s="237">
        <v>33600</v>
      </c>
      <c r="O33" s="237">
        <v>13390</v>
      </c>
      <c r="P33" s="237">
        <v>13390</v>
      </c>
      <c r="Q33" s="255">
        <f>14000*1.03</f>
        <v>14420</v>
      </c>
      <c r="R33" s="4">
        <f>Q33*(1+$V33)</f>
        <v>14852.6</v>
      </c>
      <c r="S33" s="4">
        <f t="shared" si="20"/>
        <v>15298.178</v>
      </c>
      <c r="T33" s="4">
        <f t="shared" si="20"/>
        <v>15757.12334</v>
      </c>
      <c r="U33" s="4">
        <f t="shared" si="20"/>
        <v>16229.8370402</v>
      </c>
      <c r="V33" s="303">
        <v>0.03</v>
      </c>
      <c r="W33" s="1" t="s">
        <v>278</v>
      </c>
      <c r="AA33" s="280"/>
    </row>
    <row r="34" spans="1:27" s="1" customFormat="1" x14ac:dyDescent="0.2">
      <c r="A34" s="356"/>
      <c r="B34" s="195">
        <v>8021</v>
      </c>
      <c r="C34" s="219" t="s">
        <v>130</v>
      </c>
      <c r="D34" s="201">
        <v>0</v>
      </c>
      <c r="E34" s="201">
        <v>0</v>
      </c>
      <c r="F34" s="201">
        <v>0</v>
      </c>
      <c r="G34" s="201">
        <v>0</v>
      </c>
      <c r="H34" s="201">
        <v>0</v>
      </c>
      <c r="I34" s="201">
        <v>0</v>
      </c>
      <c r="J34" s="201">
        <v>0</v>
      </c>
      <c r="K34" s="201">
        <v>0</v>
      </c>
      <c r="L34" s="202">
        <v>0</v>
      </c>
      <c r="M34" s="237">
        <v>0</v>
      </c>
      <c r="N34" s="237">
        <v>49800</v>
      </c>
      <c r="O34" s="237">
        <v>41200</v>
      </c>
      <c r="P34" s="237">
        <v>41200</v>
      </c>
      <c r="Q34" s="262">
        <f>ROUND(N34*(1+V34),2)</f>
        <v>51294</v>
      </c>
      <c r="R34" s="4">
        <f>Q34*(1+$V34)</f>
        <v>52832.82</v>
      </c>
      <c r="S34" s="4">
        <f t="shared" si="20"/>
        <v>54417.804600000003</v>
      </c>
      <c r="T34" s="4">
        <f t="shared" si="20"/>
        <v>56050.338738000006</v>
      </c>
      <c r="U34" s="4">
        <f t="shared" si="20"/>
        <v>57731.848900140008</v>
      </c>
      <c r="V34" s="303">
        <v>0.03</v>
      </c>
      <c r="W34" s="1" t="s">
        <v>278</v>
      </c>
      <c r="X34" s="1" t="s">
        <v>251</v>
      </c>
      <c r="AA34" s="280"/>
    </row>
    <row r="35" spans="1:27" s="1" customFormat="1" x14ac:dyDescent="0.2">
      <c r="A35" s="356"/>
      <c r="B35" s="195">
        <v>8055</v>
      </c>
      <c r="C35" s="219" t="s">
        <v>74</v>
      </c>
      <c r="D35" s="201">
        <v>0</v>
      </c>
      <c r="E35" s="201">
        <v>0</v>
      </c>
      <c r="F35" s="201">
        <v>0</v>
      </c>
      <c r="G35" s="201">
        <v>14351.25</v>
      </c>
      <c r="H35" s="201">
        <v>24932.45</v>
      </c>
      <c r="I35" s="201">
        <v>27745.94</v>
      </c>
      <c r="J35" s="201">
        <v>33737.050000000003</v>
      </c>
      <c r="K35" s="201">
        <v>49900.62</v>
      </c>
      <c r="L35" s="201">
        <v>33659.06</v>
      </c>
      <c r="M35" s="4">
        <v>14024.26</v>
      </c>
      <c r="N35" s="4">
        <v>12480</v>
      </c>
      <c r="O35" s="4">
        <v>25000</v>
      </c>
      <c r="P35" s="4">
        <v>20000</v>
      </c>
      <c r="Q35" s="262">
        <v>20000</v>
      </c>
      <c r="R35" s="4">
        <v>20000</v>
      </c>
      <c r="S35" s="4">
        <v>20000</v>
      </c>
      <c r="T35" s="4">
        <v>20000</v>
      </c>
      <c r="U35" s="4">
        <v>20000</v>
      </c>
      <c r="V35" s="303">
        <v>0.03</v>
      </c>
      <c r="W35" s="1" t="s">
        <v>278</v>
      </c>
      <c r="AA35" s="280"/>
    </row>
    <row r="36" spans="1:27" s="1" customFormat="1" x14ac:dyDescent="0.2">
      <c r="A36" s="356"/>
      <c r="B36" s="195">
        <v>8030</v>
      </c>
      <c r="C36" s="219" t="s">
        <v>65</v>
      </c>
      <c r="D36" s="201">
        <v>0</v>
      </c>
      <c r="E36" s="201">
        <v>58612.06</v>
      </c>
      <c r="F36" s="201">
        <v>114110.74</v>
      </c>
      <c r="G36" s="201">
        <v>63501.7</v>
      </c>
      <c r="H36" s="201">
        <v>69940.899999999994</v>
      </c>
      <c r="I36" s="201">
        <v>56084</v>
      </c>
      <c r="J36" s="201">
        <v>56700</v>
      </c>
      <c r="K36" s="201">
        <v>63700</v>
      </c>
      <c r="L36" s="201">
        <v>123891.25</v>
      </c>
      <c r="M36" s="4">
        <v>86520</v>
      </c>
      <c r="N36" s="4">
        <v>88980</v>
      </c>
      <c r="O36" s="4">
        <v>90176.5</v>
      </c>
      <c r="P36" s="4">
        <v>90176.5</v>
      </c>
      <c r="Q36" s="262">
        <f>ROUND(N36*(1+V36),2)</f>
        <v>91649.4</v>
      </c>
      <c r="R36" s="4">
        <f>Q36*(1+$V36)</f>
        <v>94398.881999999998</v>
      </c>
      <c r="S36" s="4">
        <f t="shared" si="20"/>
        <v>97230.848459999994</v>
      </c>
      <c r="T36" s="4">
        <f t="shared" si="20"/>
        <v>100147.7739138</v>
      </c>
      <c r="U36" s="4">
        <f t="shared" si="20"/>
        <v>103152.207131214</v>
      </c>
      <c r="V36" s="303">
        <v>0.03</v>
      </c>
      <c r="W36" s="1" t="s">
        <v>278</v>
      </c>
      <c r="AA36" s="280"/>
    </row>
    <row r="37" spans="1:27" ht="12.75" hidden="1" customHeight="1" x14ac:dyDescent="0.2">
      <c r="A37" s="356"/>
      <c r="B37" s="195"/>
      <c r="C37" s="219" t="s">
        <v>75</v>
      </c>
      <c r="D37" s="4">
        <v>0</v>
      </c>
      <c r="E37" s="4">
        <v>0</v>
      </c>
      <c r="F37" s="4">
        <v>0</v>
      </c>
      <c r="G37" s="4">
        <v>0</v>
      </c>
      <c r="H37" s="4">
        <v>0</v>
      </c>
      <c r="I37" s="4">
        <v>0</v>
      </c>
      <c r="J37" s="4">
        <v>0</v>
      </c>
      <c r="K37" s="4">
        <v>0</v>
      </c>
      <c r="L37" s="4">
        <v>0</v>
      </c>
      <c r="M37" s="4">
        <v>0</v>
      </c>
      <c r="N37" s="4">
        <v>0</v>
      </c>
      <c r="O37" s="4">
        <v>0</v>
      </c>
      <c r="P37" s="4">
        <v>0</v>
      </c>
      <c r="Q37" s="255"/>
      <c r="R37" s="4">
        <f t="shared" ref="R37:R38" si="22">Q37*(1+$V37)</f>
        <v>0</v>
      </c>
      <c r="S37" s="4">
        <f t="shared" ref="S37:S38" si="23">R37*(1+$V37)</f>
        <v>0</v>
      </c>
      <c r="T37" s="4">
        <f t="shared" ref="T37:T38" si="24">S37*(1+$V37)</f>
        <v>0</v>
      </c>
      <c r="U37" s="4">
        <f t="shared" ref="U37:U38" si="25">T37*(1+$V37)</f>
        <v>0</v>
      </c>
      <c r="V37" s="303">
        <v>0.03</v>
      </c>
      <c r="AA37" s="278"/>
    </row>
    <row r="38" spans="1:27" ht="12.75" customHeight="1" x14ac:dyDescent="0.2">
      <c r="A38" s="356"/>
      <c r="B38" s="195" t="s">
        <v>46</v>
      </c>
      <c r="C38" s="311" t="s">
        <v>326</v>
      </c>
      <c r="D38" s="4"/>
      <c r="E38" s="4"/>
      <c r="F38" s="4"/>
      <c r="G38" s="4"/>
      <c r="H38" s="4"/>
      <c r="I38" s="4"/>
      <c r="J38" s="4"/>
      <c r="K38" s="4"/>
      <c r="L38" s="4"/>
      <c r="M38" s="4">
        <v>0</v>
      </c>
      <c r="N38" s="4">
        <v>0</v>
      </c>
      <c r="O38" s="4">
        <v>0</v>
      </c>
      <c r="P38" s="4">
        <v>0</v>
      </c>
      <c r="Q38" s="262">
        <v>25000</v>
      </c>
      <c r="R38" s="4">
        <f t="shared" si="22"/>
        <v>25750</v>
      </c>
      <c r="S38" s="4">
        <f t="shared" si="23"/>
        <v>26522.5</v>
      </c>
      <c r="T38" s="4">
        <f t="shared" si="24"/>
        <v>27318.174999999999</v>
      </c>
      <c r="U38" s="4">
        <f t="shared" si="25"/>
        <v>28137.720249999998</v>
      </c>
      <c r="V38" s="303">
        <v>0.03</v>
      </c>
      <c r="AA38" s="278"/>
    </row>
    <row r="39" spans="1:27" s="1" customFormat="1" x14ac:dyDescent="0.2">
      <c r="A39" s="356"/>
      <c r="B39" s="195">
        <v>8070</v>
      </c>
      <c r="C39" s="219" t="s">
        <v>5</v>
      </c>
      <c r="D39" s="201">
        <v>0</v>
      </c>
      <c r="E39" s="201">
        <v>82.5</v>
      </c>
      <c r="F39" s="201">
        <v>220</v>
      </c>
      <c r="G39" s="201">
        <v>6201.25</v>
      </c>
      <c r="H39" s="201">
        <v>17149.37</v>
      </c>
      <c r="I39" s="201">
        <v>6745</v>
      </c>
      <c r="J39" s="201">
        <v>7178.66</v>
      </c>
      <c r="K39" s="201">
        <v>13862.5</v>
      </c>
      <c r="L39" s="201">
        <v>9885.67</v>
      </c>
      <c r="M39" s="4">
        <v>5623.75</v>
      </c>
      <c r="N39" s="4">
        <v>3168</v>
      </c>
      <c r="O39" s="4">
        <v>12360</v>
      </c>
      <c r="P39" s="4">
        <v>12360</v>
      </c>
      <c r="Q39" s="262">
        <v>12000</v>
      </c>
      <c r="R39" s="4">
        <f>Q39*(1+$V39)</f>
        <v>12360</v>
      </c>
      <c r="S39" s="4">
        <f t="shared" si="20"/>
        <v>12730.800000000001</v>
      </c>
      <c r="T39" s="4">
        <f t="shared" si="20"/>
        <v>13112.724000000002</v>
      </c>
      <c r="U39" s="4">
        <f t="shared" si="20"/>
        <v>13506.105720000003</v>
      </c>
      <c r="V39" s="303">
        <v>0.03</v>
      </c>
      <c r="AA39" s="280"/>
    </row>
    <row r="40" spans="1:27" hidden="1" x14ac:dyDescent="0.2">
      <c r="A40" s="356"/>
      <c r="B40" s="195">
        <v>8043</v>
      </c>
      <c r="C40" s="301" t="s">
        <v>54</v>
      </c>
      <c r="D40" s="4">
        <v>0</v>
      </c>
      <c r="E40" s="4">
        <v>0</v>
      </c>
      <c r="F40" s="4">
        <v>0</v>
      </c>
      <c r="G40" s="4">
        <v>0</v>
      </c>
      <c r="H40" s="4">
        <v>0</v>
      </c>
      <c r="I40" s="4">
        <v>0</v>
      </c>
      <c r="J40" s="4">
        <v>0</v>
      </c>
      <c r="K40" s="4">
        <v>0</v>
      </c>
      <c r="L40" s="4">
        <v>0</v>
      </c>
      <c r="M40" s="4">
        <v>0</v>
      </c>
      <c r="N40" s="4">
        <v>0</v>
      </c>
      <c r="O40" s="4">
        <v>0</v>
      </c>
      <c r="P40" s="4">
        <v>0</v>
      </c>
      <c r="Q40" s="308">
        <v>0</v>
      </c>
      <c r="R40" s="4"/>
      <c r="S40" s="4"/>
      <c r="T40" s="4"/>
      <c r="U40" s="4"/>
      <c r="V40" s="302" t="s">
        <v>268</v>
      </c>
      <c r="AA40" s="278"/>
    </row>
    <row r="41" spans="1:27" x14ac:dyDescent="0.2">
      <c r="A41" s="362">
        <v>6</v>
      </c>
      <c r="B41" s="195">
        <v>66001</v>
      </c>
      <c r="C41" s="213" t="s">
        <v>122</v>
      </c>
      <c r="D41" s="4">
        <v>0</v>
      </c>
      <c r="E41" s="4">
        <v>0</v>
      </c>
      <c r="F41" s="4">
        <v>0</v>
      </c>
      <c r="G41" s="4">
        <v>0</v>
      </c>
      <c r="H41" s="4">
        <v>0</v>
      </c>
      <c r="I41" s="4">
        <v>0</v>
      </c>
      <c r="J41" s="4">
        <v>0</v>
      </c>
      <c r="K41" s="4">
        <v>0</v>
      </c>
      <c r="L41" s="4">
        <v>64038.49</v>
      </c>
      <c r="M41" s="4">
        <v>91800.02</v>
      </c>
      <c r="N41" s="4">
        <v>95076.43</v>
      </c>
      <c r="O41" s="4">
        <v>94760</v>
      </c>
      <c r="P41" s="4">
        <v>93636</v>
      </c>
      <c r="Q41" s="262">
        <f>ROUND(P41*(1+V41),2)</f>
        <v>96445.08</v>
      </c>
      <c r="R41" s="4">
        <f>Q41*(1+$V41)</f>
        <v>99338.432400000005</v>
      </c>
      <c r="S41" s="4">
        <f t="shared" si="20"/>
        <v>102318.585372</v>
      </c>
      <c r="T41" s="4">
        <f t="shared" si="20"/>
        <v>105388.14293316001</v>
      </c>
      <c r="U41" s="4">
        <f t="shared" si="20"/>
        <v>108549.78722115481</v>
      </c>
      <c r="V41" s="303">
        <v>0.03</v>
      </c>
      <c r="AA41" s="279"/>
    </row>
    <row r="42" spans="1:27" x14ac:dyDescent="0.2">
      <c r="A42" s="363"/>
      <c r="B42" s="195">
        <v>66002</v>
      </c>
      <c r="C42" s="213" t="s">
        <v>123</v>
      </c>
      <c r="D42" s="4">
        <v>0</v>
      </c>
      <c r="E42" s="4">
        <v>0</v>
      </c>
      <c r="F42" s="4">
        <v>0</v>
      </c>
      <c r="G42" s="4">
        <v>0</v>
      </c>
      <c r="H42" s="4">
        <v>0</v>
      </c>
      <c r="I42" s="4">
        <v>0</v>
      </c>
      <c r="J42" s="4">
        <v>0</v>
      </c>
      <c r="K42" s="4">
        <v>0</v>
      </c>
      <c r="L42" s="4">
        <v>24265.83</v>
      </c>
      <c r="M42" s="4">
        <v>45989.11</v>
      </c>
      <c r="N42" s="4">
        <v>48953.81</v>
      </c>
      <c r="O42" s="4">
        <v>67980</v>
      </c>
      <c r="P42" s="4">
        <v>110374.92</v>
      </c>
      <c r="Q42" s="255">
        <f>(Q41+Q43+Q45+Q46)*0.4</f>
        <v>119632.6048</v>
      </c>
      <c r="R42" s="4">
        <f t="shared" ref="R42:U42" si="26">(R41+R43+R45+R46)*0.4</f>
        <v>123221.58294400001</v>
      </c>
      <c r="S42" s="4">
        <f t="shared" si="26"/>
        <v>126918.23043231999</v>
      </c>
      <c r="T42" s="4">
        <f t="shared" si="26"/>
        <v>130725.77734528959</v>
      </c>
      <c r="U42" s="4">
        <f t="shared" si="26"/>
        <v>134647.5506656483</v>
      </c>
      <c r="V42" s="307"/>
      <c r="W42" s="2" t="s">
        <v>282</v>
      </c>
      <c r="AA42" s="279"/>
    </row>
    <row r="43" spans="1:27" x14ac:dyDescent="0.2">
      <c r="A43" s="363"/>
      <c r="B43" s="195">
        <v>66003</v>
      </c>
      <c r="C43" s="56" t="s">
        <v>124</v>
      </c>
      <c r="D43" s="4">
        <v>0</v>
      </c>
      <c r="E43" s="4">
        <v>0</v>
      </c>
      <c r="F43" s="4">
        <v>0</v>
      </c>
      <c r="G43" s="4">
        <v>0</v>
      </c>
      <c r="H43" s="4">
        <v>0</v>
      </c>
      <c r="I43" s="4">
        <v>0</v>
      </c>
      <c r="J43" s="4">
        <v>0</v>
      </c>
      <c r="K43" s="4">
        <v>0</v>
      </c>
      <c r="L43" s="4">
        <v>15444.5</v>
      </c>
      <c r="M43" s="4">
        <v>30226</v>
      </c>
      <c r="N43" s="4">
        <v>72640.73</v>
      </c>
      <c r="O43" s="4">
        <v>37080</v>
      </c>
      <c r="P43" s="4">
        <v>72134.399999999994</v>
      </c>
      <c r="Q43" s="262">
        <f>34.68*2080*(1+V43)</f>
        <v>74298.432000000001</v>
      </c>
      <c r="R43" s="4">
        <f>Q43*(1+$V43)</f>
        <v>76527.384959999996</v>
      </c>
      <c r="S43" s="4">
        <f t="shared" si="20"/>
        <v>78823.206508799994</v>
      </c>
      <c r="T43" s="4">
        <f t="shared" si="20"/>
        <v>81187.902704063992</v>
      </c>
      <c r="U43" s="4">
        <f t="shared" si="20"/>
        <v>83623.539785185916</v>
      </c>
      <c r="V43" s="303">
        <v>0.03</v>
      </c>
      <c r="AA43" s="279"/>
    </row>
    <row r="44" spans="1:27" hidden="1" x14ac:dyDescent="0.2">
      <c r="A44" s="363"/>
      <c r="B44" s="195">
        <v>66004</v>
      </c>
      <c r="C44" s="56" t="s">
        <v>125</v>
      </c>
      <c r="D44" s="4">
        <v>0</v>
      </c>
      <c r="E44" s="4">
        <v>0</v>
      </c>
      <c r="F44" s="4">
        <v>0</v>
      </c>
      <c r="G44" s="4">
        <v>0</v>
      </c>
      <c r="H44" s="4">
        <v>0</v>
      </c>
      <c r="I44" s="4">
        <v>0</v>
      </c>
      <c r="J44" s="4">
        <v>0</v>
      </c>
      <c r="K44" s="4">
        <v>0</v>
      </c>
      <c r="L44" s="4">
        <v>17732.2</v>
      </c>
      <c r="M44" s="4">
        <v>40193.629999999997</v>
      </c>
      <c r="N44" s="4">
        <v>0</v>
      </c>
      <c r="O44" s="4">
        <v>52530</v>
      </c>
      <c r="P44" s="4">
        <v>0</v>
      </c>
      <c r="Q44" s="255">
        <v>0</v>
      </c>
      <c r="R44" s="4">
        <v>0</v>
      </c>
      <c r="S44" s="4">
        <v>0</v>
      </c>
      <c r="T44" s="4">
        <v>0</v>
      </c>
      <c r="U44" s="4">
        <v>0</v>
      </c>
      <c r="V44" s="302" t="s">
        <v>268</v>
      </c>
      <c r="AA44" s="278"/>
    </row>
    <row r="45" spans="1:27" x14ac:dyDescent="0.2">
      <c r="A45" s="363"/>
      <c r="B45" s="195">
        <v>66005</v>
      </c>
      <c r="C45" s="56" t="s">
        <v>246</v>
      </c>
      <c r="D45" s="4">
        <v>0</v>
      </c>
      <c r="E45" s="4">
        <v>0</v>
      </c>
      <c r="F45" s="4">
        <v>0</v>
      </c>
      <c r="G45" s="4">
        <v>0</v>
      </c>
      <c r="H45" s="4">
        <v>0</v>
      </c>
      <c r="I45" s="4">
        <v>0</v>
      </c>
      <c r="J45" s="4">
        <v>0</v>
      </c>
      <c r="K45" s="4">
        <v>0</v>
      </c>
      <c r="L45" s="4">
        <v>0</v>
      </c>
      <c r="M45" s="4">
        <v>0</v>
      </c>
      <c r="N45" s="4">
        <v>0</v>
      </c>
      <c r="O45" s="4">
        <v>41250</v>
      </c>
      <c r="P45" s="4">
        <v>43680</v>
      </c>
      <c r="Q45" s="262">
        <f>28*37.5*52*(1+V45)</f>
        <v>56238</v>
      </c>
      <c r="R45" s="4">
        <f>Q45*(1+$V45)</f>
        <v>57925.14</v>
      </c>
      <c r="S45" s="4">
        <f t="shared" si="20"/>
        <v>59662.894200000002</v>
      </c>
      <c r="T45" s="4">
        <f t="shared" si="20"/>
        <v>61452.781026000004</v>
      </c>
      <c r="U45" s="4">
        <f t="shared" si="20"/>
        <v>63296.364456780007</v>
      </c>
      <c r="V45" s="303">
        <v>0.03</v>
      </c>
      <c r="AA45" s="279"/>
    </row>
    <row r="46" spans="1:27" x14ac:dyDescent="0.2">
      <c r="A46" s="363"/>
      <c r="B46" s="195">
        <v>66006</v>
      </c>
      <c r="C46" s="56" t="s">
        <v>247</v>
      </c>
      <c r="D46" s="4">
        <v>0</v>
      </c>
      <c r="E46" s="4">
        <v>0</v>
      </c>
      <c r="F46" s="4">
        <v>0</v>
      </c>
      <c r="G46" s="4">
        <v>0</v>
      </c>
      <c r="H46" s="4">
        <v>0</v>
      </c>
      <c r="I46" s="4">
        <v>0</v>
      </c>
      <c r="J46" s="4">
        <v>0</v>
      </c>
      <c r="K46" s="4">
        <v>0</v>
      </c>
      <c r="L46" s="4">
        <v>0</v>
      </c>
      <c r="M46" s="4">
        <v>0</v>
      </c>
      <c r="N46" s="4">
        <v>25846.080000000002</v>
      </c>
      <c r="O46" s="4">
        <v>0</v>
      </c>
      <c r="P46" s="4">
        <v>73000</v>
      </c>
      <c r="Q46" s="255">
        <f>70000*1.03</f>
        <v>72100</v>
      </c>
      <c r="R46" s="4">
        <f>Q46*(1+$V46)</f>
        <v>74263</v>
      </c>
      <c r="S46" s="4">
        <f t="shared" si="20"/>
        <v>76490.89</v>
      </c>
      <c r="T46" s="4">
        <f t="shared" si="20"/>
        <v>78785.616699999999</v>
      </c>
      <c r="U46" s="4">
        <f t="shared" si="20"/>
        <v>81149.185201</v>
      </c>
      <c r="V46" s="303">
        <v>0.03</v>
      </c>
      <c r="AA46" s="279"/>
    </row>
    <row r="47" spans="1:27" s="1" customFormat="1" x14ac:dyDescent="0.2">
      <c r="A47" s="363"/>
      <c r="B47" s="195">
        <v>8060</v>
      </c>
      <c r="C47" s="219" t="s">
        <v>66</v>
      </c>
      <c r="D47" s="201">
        <v>22211</v>
      </c>
      <c r="E47" s="201">
        <v>21139.41</v>
      </c>
      <c r="F47" s="201">
        <v>22211</v>
      </c>
      <c r="G47" s="201">
        <v>53116.399999999994</v>
      </c>
      <c r="H47" s="201">
        <v>28159.8</v>
      </c>
      <c r="I47" s="201">
        <v>30902.739999999998</v>
      </c>
      <c r="J47" s="201">
        <v>33139.11</v>
      </c>
      <c r="K47" s="201">
        <v>33139.11</v>
      </c>
      <c r="L47" s="201">
        <f>20056.81*2</f>
        <v>40113.620000000003</v>
      </c>
      <c r="M47" s="4">
        <v>43612.63</v>
      </c>
      <c r="N47" s="4">
        <v>50587.94</v>
      </c>
      <c r="O47" s="4">
        <v>48070</v>
      </c>
      <c r="P47" s="4">
        <v>50850</v>
      </c>
      <c r="Q47" s="262">
        <f>ROUND(N47*(1+0.1),2)</f>
        <v>55646.73</v>
      </c>
      <c r="R47" s="4">
        <f>Q47*(1+$V47)</f>
        <v>61211.403000000006</v>
      </c>
      <c r="S47" s="4">
        <f t="shared" si="20"/>
        <v>67332.543300000005</v>
      </c>
      <c r="T47" s="4">
        <f t="shared" si="20"/>
        <v>74065.797630000015</v>
      </c>
      <c r="U47" s="4">
        <f t="shared" si="20"/>
        <v>81472.377393000017</v>
      </c>
      <c r="V47" s="303">
        <v>0.1</v>
      </c>
      <c r="W47" s="1" t="s">
        <v>316</v>
      </c>
      <c r="AA47" s="280"/>
    </row>
    <row r="48" spans="1:27" s="1" customFormat="1" x14ac:dyDescent="0.2">
      <c r="A48" s="363"/>
      <c r="B48" s="195">
        <v>8041</v>
      </c>
      <c r="C48" s="219" t="s">
        <v>14</v>
      </c>
      <c r="D48" s="202">
        <v>88269.07</v>
      </c>
      <c r="E48" s="202">
        <v>35323.919999999998</v>
      </c>
      <c r="F48" s="202">
        <v>36171.78</v>
      </c>
      <c r="G48" s="202">
        <v>0</v>
      </c>
      <c r="H48" s="202">
        <v>0</v>
      </c>
      <c r="I48" s="202">
        <v>35537.03</v>
      </c>
      <c r="J48" s="202">
        <v>40620.129999999997</v>
      </c>
      <c r="K48" s="201">
        <v>51541.31</v>
      </c>
      <c r="L48" s="202">
        <v>63497.96</v>
      </c>
      <c r="M48" s="237">
        <v>68485.539999999994</v>
      </c>
      <c r="N48" s="237">
        <v>70688.66</v>
      </c>
      <c r="O48" s="237">
        <v>80000</v>
      </c>
      <c r="P48" s="237">
        <v>68660</v>
      </c>
      <c r="Q48" s="255">
        <v>68660</v>
      </c>
      <c r="R48" s="4">
        <f t="shared" ref="R48:R49" si="27">Q48*(1+$V48)</f>
        <v>68660</v>
      </c>
      <c r="S48" s="237">
        <f t="shared" si="20"/>
        <v>68660</v>
      </c>
      <c r="T48" s="237">
        <f t="shared" si="20"/>
        <v>68660</v>
      </c>
      <c r="U48" s="237">
        <f t="shared" si="20"/>
        <v>68660</v>
      </c>
      <c r="V48" s="303">
        <v>0</v>
      </c>
      <c r="AA48" s="280"/>
    </row>
    <row r="49" spans="1:27" s="1" customFormat="1" ht="12.75" hidden="1" customHeight="1" x14ac:dyDescent="0.2">
      <c r="A49" s="363"/>
      <c r="B49" s="195">
        <v>8042</v>
      </c>
      <c r="C49" s="219" t="s">
        <v>15</v>
      </c>
      <c r="D49" s="201">
        <v>0</v>
      </c>
      <c r="E49" s="201">
        <v>4574.7000000000007</v>
      </c>
      <c r="F49" s="201">
        <v>10462.469999999998</v>
      </c>
      <c r="G49" s="201">
        <v>0</v>
      </c>
      <c r="H49" s="201">
        <v>36578.97</v>
      </c>
      <c r="I49" s="201">
        <v>14198</v>
      </c>
      <c r="J49" s="202">
        <v>18032</v>
      </c>
      <c r="K49" s="202">
        <v>22464.3</v>
      </c>
      <c r="L49" s="201">
        <v>14859.4</v>
      </c>
      <c r="M49" s="4">
        <v>0</v>
      </c>
      <c r="N49" s="4">
        <v>0</v>
      </c>
      <c r="O49" s="4">
        <v>0</v>
      </c>
      <c r="P49" s="4">
        <v>0</v>
      </c>
      <c r="Q49" s="255">
        <v>0</v>
      </c>
      <c r="R49" s="4">
        <f t="shared" si="27"/>
        <v>0</v>
      </c>
      <c r="S49" s="4"/>
      <c r="T49" s="4"/>
      <c r="U49" s="4"/>
      <c r="V49" s="306"/>
      <c r="AA49" s="277"/>
    </row>
    <row r="50" spans="1:27" s="1" customFormat="1" hidden="1" x14ac:dyDescent="0.2">
      <c r="A50" s="363"/>
      <c r="B50" s="195">
        <v>8040</v>
      </c>
      <c r="C50" s="219" t="s">
        <v>126</v>
      </c>
      <c r="D50" s="203">
        <v>0</v>
      </c>
      <c r="E50" s="203">
        <v>0</v>
      </c>
      <c r="F50" s="203">
        <v>0</v>
      </c>
      <c r="G50" s="203">
        <v>0</v>
      </c>
      <c r="H50" s="203">
        <v>0</v>
      </c>
      <c r="I50" s="203">
        <v>0</v>
      </c>
      <c r="J50" s="203">
        <v>0</v>
      </c>
      <c r="K50" s="203">
        <v>26503.279999999999</v>
      </c>
      <c r="L50" s="203">
        <v>23701.25</v>
      </c>
      <c r="M50" s="71">
        <v>0</v>
      </c>
      <c r="N50" s="4">
        <v>0</v>
      </c>
      <c r="O50" s="4">
        <v>25000</v>
      </c>
      <c r="P50" s="4">
        <v>25000</v>
      </c>
      <c r="Q50" s="255">
        <v>0</v>
      </c>
      <c r="R50" s="4">
        <v>0</v>
      </c>
      <c r="S50" s="4">
        <v>0</v>
      </c>
      <c r="T50" s="4">
        <v>0</v>
      </c>
      <c r="U50" s="4">
        <v>0</v>
      </c>
      <c r="V50" s="306" t="s">
        <v>268</v>
      </c>
      <c r="AA50" s="277"/>
    </row>
    <row r="51" spans="1:27" x14ac:dyDescent="0.2">
      <c r="A51" s="363"/>
      <c r="B51" s="195">
        <v>8045</v>
      </c>
      <c r="C51" s="219" t="s">
        <v>67</v>
      </c>
      <c r="D51" s="4">
        <v>0</v>
      </c>
      <c r="E51" s="4">
        <v>0</v>
      </c>
      <c r="F51" s="4">
        <v>0</v>
      </c>
      <c r="G51" s="4">
        <v>0</v>
      </c>
      <c r="H51" s="4">
        <v>0</v>
      </c>
      <c r="I51" s="4">
        <v>0</v>
      </c>
      <c r="J51" s="4">
        <v>0</v>
      </c>
      <c r="K51" s="4">
        <v>0</v>
      </c>
      <c r="L51" s="4">
        <v>4500</v>
      </c>
      <c r="M51" s="4">
        <v>6000</v>
      </c>
      <c r="N51" s="4">
        <v>6000</v>
      </c>
      <c r="O51" s="4">
        <v>7210</v>
      </c>
      <c r="P51" s="4">
        <v>7209.6</v>
      </c>
      <c r="Q51" s="255">
        <v>6000</v>
      </c>
      <c r="R51" s="4">
        <v>6000</v>
      </c>
      <c r="S51" s="4">
        <v>6000</v>
      </c>
      <c r="T51" s="4">
        <v>6000</v>
      </c>
      <c r="U51" s="4">
        <v>6000</v>
      </c>
      <c r="W51" s="2" t="s">
        <v>282</v>
      </c>
      <c r="AA51" s="279"/>
    </row>
    <row r="52" spans="1:27" s="1" customFormat="1" x14ac:dyDescent="0.2">
      <c r="A52" s="363"/>
      <c r="B52" s="195">
        <v>8044</v>
      </c>
      <c r="C52" s="219" t="s">
        <v>68</v>
      </c>
      <c r="D52" s="201">
        <v>0</v>
      </c>
      <c r="E52" s="201">
        <v>0</v>
      </c>
      <c r="F52" s="201">
        <v>0</v>
      </c>
      <c r="G52" s="201">
        <v>0</v>
      </c>
      <c r="H52" s="201">
        <v>0</v>
      </c>
      <c r="I52" s="201">
        <v>0</v>
      </c>
      <c r="J52" s="201">
        <v>0</v>
      </c>
      <c r="K52" s="201">
        <v>0</v>
      </c>
      <c r="L52" s="201">
        <v>8174.66</v>
      </c>
      <c r="M52" s="4">
        <v>6489.32</v>
      </c>
      <c r="N52" s="237">
        <v>15108</v>
      </c>
      <c r="O52" s="4">
        <v>11845</v>
      </c>
      <c r="P52" s="4">
        <v>1044.96</v>
      </c>
      <c r="Q52" s="255">
        <v>6484</v>
      </c>
      <c r="R52" s="4">
        <f t="shared" ref="R52:U55" si="28">Q52*(1+$V52)</f>
        <v>6678.52</v>
      </c>
      <c r="S52" s="237">
        <f t="shared" si="28"/>
        <v>6878.8756000000003</v>
      </c>
      <c r="T52" s="237">
        <f t="shared" si="28"/>
        <v>7085.2418680000001</v>
      </c>
      <c r="U52" s="237">
        <f t="shared" si="28"/>
        <v>7297.7991240400006</v>
      </c>
      <c r="V52" s="303">
        <v>0.03</v>
      </c>
      <c r="W52" s="1" t="s">
        <v>279</v>
      </c>
      <c r="AA52" s="280"/>
    </row>
    <row r="53" spans="1:27" s="1" customFormat="1" x14ac:dyDescent="0.2">
      <c r="A53" s="363"/>
      <c r="B53" s="195">
        <v>9065</v>
      </c>
      <c r="C53" s="219" t="s">
        <v>69</v>
      </c>
      <c r="D53" s="201">
        <v>0</v>
      </c>
      <c r="E53" s="201">
        <v>0</v>
      </c>
      <c r="F53" s="201">
        <v>0</v>
      </c>
      <c r="G53" s="201">
        <v>0</v>
      </c>
      <c r="H53" s="201">
        <v>0</v>
      </c>
      <c r="I53" s="201">
        <v>0</v>
      </c>
      <c r="J53" s="201">
        <v>0</v>
      </c>
      <c r="K53" s="201">
        <v>2507.75</v>
      </c>
      <c r="L53" s="201">
        <v>3952.56</v>
      </c>
      <c r="M53" s="4">
        <v>0</v>
      </c>
      <c r="N53" s="4">
        <v>2586.94</v>
      </c>
      <c r="O53" s="4">
        <v>2500</v>
      </c>
      <c r="P53" s="4">
        <v>2500</v>
      </c>
      <c r="Q53" s="255">
        <f>O53*1.03</f>
        <v>2575</v>
      </c>
      <c r="R53" s="4">
        <f t="shared" si="28"/>
        <v>2652.25</v>
      </c>
      <c r="S53" s="237">
        <f t="shared" si="28"/>
        <v>2731.8175000000001</v>
      </c>
      <c r="T53" s="237">
        <f t="shared" si="28"/>
        <v>2813.7720250000002</v>
      </c>
      <c r="U53" s="237">
        <f t="shared" si="28"/>
        <v>2898.1851857500001</v>
      </c>
      <c r="V53" s="303">
        <v>0.03</v>
      </c>
      <c r="W53" s="1" t="s">
        <v>298</v>
      </c>
      <c r="AA53" s="280"/>
    </row>
    <row r="54" spans="1:27" s="1" customFormat="1" x14ac:dyDescent="0.2">
      <c r="A54" s="363"/>
      <c r="B54" s="195">
        <v>8065</v>
      </c>
      <c r="C54" s="301" t="s">
        <v>325</v>
      </c>
      <c r="D54" s="201">
        <v>0</v>
      </c>
      <c r="E54" s="201">
        <v>0</v>
      </c>
      <c r="F54" s="201">
        <v>0</v>
      </c>
      <c r="G54" s="201">
        <v>0</v>
      </c>
      <c r="H54" s="201">
        <v>0</v>
      </c>
      <c r="I54" s="201">
        <v>0</v>
      </c>
      <c r="J54" s="201">
        <v>0</v>
      </c>
      <c r="K54" s="201">
        <v>0</v>
      </c>
      <c r="L54" s="201">
        <v>23701.25</v>
      </c>
      <c r="M54" s="237">
        <v>0</v>
      </c>
      <c r="N54" s="237">
        <v>0</v>
      </c>
      <c r="O54" s="237">
        <v>25000</v>
      </c>
      <c r="P54" s="237">
        <v>25000</v>
      </c>
      <c r="Q54" s="255">
        <v>25000</v>
      </c>
      <c r="R54" s="4">
        <f t="shared" si="28"/>
        <v>25750</v>
      </c>
      <c r="S54" s="4">
        <f t="shared" si="28"/>
        <v>26522.5</v>
      </c>
      <c r="T54" s="4">
        <f t="shared" ref="T54" si="29">S54*(1+$V54)</f>
        <v>27318.174999999999</v>
      </c>
      <c r="U54" s="4">
        <f t="shared" ref="U54" si="30">T54*(1+$V54)</f>
        <v>28137.720249999998</v>
      </c>
      <c r="V54" s="303">
        <v>0.03</v>
      </c>
      <c r="W54" s="1" t="s">
        <v>319</v>
      </c>
      <c r="AA54" s="280"/>
    </row>
    <row r="55" spans="1:27" s="1" customFormat="1" x14ac:dyDescent="0.2">
      <c r="A55" s="364"/>
      <c r="B55" s="195">
        <v>9055</v>
      </c>
      <c r="C55" s="219" t="s">
        <v>70</v>
      </c>
      <c r="D55" s="201">
        <v>0</v>
      </c>
      <c r="E55" s="201">
        <v>0</v>
      </c>
      <c r="F55" s="201">
        <v>0</v>
      </c>
      <c r="G55" s="201">
        <v>0</v>
      </c>
      <c r="H55" s="201">
        <v>0</v>
      </c>
      <c r="I55" s="201">
        <v>0</v>
      </c>
      <c r="J55" s="201">
        <v>0</v>
      </c>
      <c r="K55" s="201">
        <v>0</v>
      </c>
      <c r="L55" s="201">
        <v>13874.23</v>
      </c>
      <c r="M55" s="4">
        <v>18541.310000000001</v>
      </c>
      <c r="N55" s="4">
        <v>15441.48</v>
      </c>
      <c r="O55" s="4">
        <v>26780.04</v>
      </c>
      <c r="P55" s="4">
        <v>14000</v>
      </c>
      <c r="Q55" s="255">
        <f>12000*1.03</f>
        <v>12360</v>
      </c>
      <c r="R55" s="4">
        <f t="shared" si="28"/>
        <v>12730.800000000001</v>
      </c>
      <c r="S55" s="237">
        <f t="shared" si="28"/>
        <v>13112.724000000002</v>
      </c>
      <c r="T55" s="237">
        <f t="shared" si="28"/>
        <v>13506.105720000003</v>
      </c>
      <c r="U55" s="237">
        <f t="shared" si="28"/>
        <v>13911.288891600003</v>
      </c>
      <c r="V55" s="303">
        <v>0.03</v>
      </c>
      <c r="W55" s="1" t="s">
        <v>252</v>
      </c>
      <c r="AA55" s="280"/>
    </row>
    <row r="56" spans="1:27" ht="12.75" hidden="1" customHeight="1" x14ac:dyDescent="0.2">
      <c r="A56" s="69">
        <v>8</v>
      </c>
      <c r="B56" s="195">
        <v>9050</v>
      </c>
      <c r="C56" s="219" t="s">
        <v>21</v>
      </c>
      <c r="D56" s="4">
        <v>51047.199999999997</v>
      </c>
      <c r="E56" s="4">
        <v>103698.75</v>
      </c>
      <c r="F56" s="4">
        <v>155711.24999999997</v>
      </c>
      <c r="G56" s="4">
        <v>127775.11</v>
      </c>
      <c r="H56" s="4">
        <v>126531.86</v>
      </c>
      <c r="I56" s="4">
        <v>132724.81</v>
      </c>
      <c r="J56" s="4">
        <v>146049.95000000001</v>
      </c>
      <c r="K56" s="4">
        <v>149173.19</v>
      </c>
      <c r="L56" s="4">
        <v>152108.73000000001</v>
      </c>
      <c r="M56" s="4">
        <v>0</v>
      </c>
      <c r="N56" s="4">
        <v>0</v>
      </c>
      <c r="O56" s="4">
        <v>0</v>
      </c>
      <c r="P56" s="4">
        <v>0</v>
      </c>
      <c r="Q56" s="255">
        <v>0</v>
      </c>
      <c r="R56" s="4">
        <f t="shared" ref="R56:U56" si="31">Q56*(1+$V56)</f>
        <v>0</v>
      </c>
      <c r="S56" s="237">
        <f t="shared" si="31"/>
        <v>0</v>
      </c>
      <c r="T56" s="237">
        <f t="shared" si="31"/>
        <v>0</v>
      </c>
      <c r="U56" s="237">
        <f t="shared" si="31"/>
        <v>0</v>
      </c>
      <c r="V56" s="303">
        <v>0.03</v>
      </c>
      <c r="AA56" s="278"/>
    </row>
    <row r="57" spans="1:27" s="1" customFormat="1" x14ac:dyDescent="0.2">
      <c r="A57" s="361">
        <v>7</v>
      </c>
      <c r="B57" s="195">
        <v>8150</v>
      </c>
      <c r="C57" s="219" t="s">
        <v>254</v>
      </c>
      <c r="D57" s="203">
        <v>0</v>
      </c>
      <c r="E57" s="201">
        <v>0</v>
      </c>
      <c r="F57" s="201">
        <v>0</v>
      </c>
      <c r="G57" s="201">
        <v>0</v>
      </c>
      <c r="H57" s="201">
        <v>0</v>
      </c>
      <c r="I57" s="201">
        <v>0</v>
      </c>
      <c r="J57" s="201">
        <v>0</v>
      </c>
      <c r="K57" s="201">
        <v>0</v>
      </c>
      <c r="L57" s="201">
        <v>649.66</v>
      </c>
      <c r="M57" s="4">
        <v>0</v>
      </c>
      <c r="N57" s="4">
        <v>2517.58</v>
      </c>
      <c r="O57" s="4">
        <v>0</v>
      </c>
      <c r="P57" s="4">
        <v>0</v>
      </c>
      <c r="Q57" s="255">
        <f>(200+800+160+2800)*1.03</f>
        <v>4078.8</v>
      </c>
      <c r="R57" s="4">
        <f t="shared" ref="R57:U57" si="32">Q57*(1+$V57)</f>
        <v>4201.1640000000007</v>
      </c>
      <c r="S57" s="237">
        <f t="shared" si="32"/>
        <v>4327.1989200000007</v>
      </c>
      <c r="T57" s="237">
        <f t="shared" si="32"/>
        <v>4457.0148876000012</v>
      </c>
      <c r="U57" s="237">
        <f t="shared" si="32"/>
        <v>4590.725334228001</v>
      </c>
      <c r="V57" s="303">
        <v>0.03</v>
      </c>
      <c r="W57" s="350" t="s">
        <v>299</v>
      </c>
      <c r="X57" s="350"/>
      <c r="AA57" s="280"/>
    </row>
    <row r="58" spans="1:27" s="1" customFormat="1" x14ac:dyDescent="0.2">
      <c r="A58" s="361"/>
      <c r="B58" s="195">
        <v>8151</v>
      </c>
      <c r="C58" s="219" t="s">
        <v>253</v>
      </c>
      <c r="D58" s="203">
        <v>0</v>
      </c>
      <c r="E58" s="201">
        <v>0</v>
      </c>
      <c r="F58" s="201">
        <v>0</v>
      </c>
      <c r="G58" s="201">
        <v>0</v>
      </c>
      <c r="H58" s="201">
        <v>0</v>
      </c>
      <c r="I58" s="201">
        <v>0</v>
      </c>
      <c r="J58" s="201">
        <v>0</v>
      </c>
      <c r="K58" s="201">
        <v>0</v>
      </c>
      <c r="L58" s="201">
        <v>9065.51</v>
      </c>
      <c r="M58" s="4">
        <v>0</v>
      </c>
      <c r="N58" s="4">
        <v>6057.96</v>
      </c>
      <c r="O58" s="4">
        <v>5150</v>
      </c>
      <c r="P58" s="4">
        <v>5150</v>
      </c>
      <c r="Q58" s="255">
        <f>5000+6545</f>
        <v>11545</v>
      </c>
      <c r="R58" s="4">
        <f>(Q58-3000)*(1+$V58)</f>
        <v>8801.35</v>
      </c>
      <c r="S58" s="237">
        <f>(R58+3000)*(1+$V58)</f>
        <v>12155.390500000001</v>
      </c>
      <c r="T58" s="237">
        <f>S58-3000*(1+$V58)</f>
        <v>9065.3905000000013</v>
      </c>
      <c r="U58" s="237">
        <f>T58+3000*(1+$V58)</f>
        <v>12155.390500000001</v>
      </c>
      <c r="V58" s="303">
        <v>0.03</v>
      </c>
      <c r="W58" s="351" t="s">
        <v>313</v>
      </c>
      <c r="X58" s="351"/>
      <c r="AA58" s="280"/>
    </row>
    <row r="59" spans="1:27" x14ac:dyDescent="0.2">
      <c r="A59" s="361"/>
      <c r="B59" s="195">
        <v>8152</v>
      </c>
      <c r="C59" s="219" t="s">
        <v>127</v>
      </c>
      <c r="D59" s="71">
        <v>0</v>
      </c>
      <c r="E59" s="4">
        <v>0</v>
      </c>
      <c r="F59" s="4">
        <v>0</v>
      </c>
      <c r="G59" s="4">
        <v>0</v>
      </c>
      <c r="H59" s="4">
        <v>0</v>
      </c>
      <c r="I59" s="4">
        <v>0</v>
      </c>
      <c r="J59" s="4">
        <v>0</v>
      </c>
      <c r="K59" s="4">
        <v>0</v>
      </c>
      <c r="L59" s="4">
        <v>5976</v>
      </c>
      <c r="M59" s="4">
        <v>6414.85</v>
      </c>
      <c r="N59" s="4">
        <v>8915.64</v>
      </c>
      <c r="O59" s="4">
        <v>9500</v>
      </c>
      <c r="P59" s="4">
        <v>9500</v>
      </c>
      <c r="Q59" s="255">
        <f>800*12+(3*4*304.95*1.03)</f>
        <v>13369.182000000001</v>
      </c>
      <c r="R59" s="4">
        <f>800*12+(3*4*304.95*1.03*1.03)</f>
        <v>13482.257460000001</v>
      </c>
      <c r="S59" s="4">
        <f>800*12+(3*4*304.95*1.03*1.03*1.03)</f>
        <v>13598.725183799999</v>
      </c>
      <c r="T59" s="4">
        <f>800*12+(3*4*304.95*1.03*1.03*1.03*1.03)</f>
        <v>13718.686939314</v>
      </c>
      <c r="U59" s="4">
        <f>800*12+(3*4*304.95*1.03*1.03*1.03*1.03*1.03)</f>
        <v>13842.24754749342</v>
      </c>
      <c r="V59" s="303">
        <v>0.03</v>
      </c>
      <c r="W59" s="2" t="s">
        <v>283</v>
      </c>
      <c r="X59" s="2" t="s">
        <v>267</v>
      </c>
    </row>
    <row r="60" spans="1:27" s="1" customFormat="1" x14ac:dyDescent="0.2">
      <c r="A60" s="361"/>
      <c r="B60" s="195">
        <v>8153</v>
      </c>
      <c r="C60" s="219" t="s">
        <v>128</v>
      </c>
      <c r="D60" s="203">
        <v>0</v>
      </c>
      <c r="E60" s="203">
        <v>0</v>
      </c>
      <c r="F60" s="203">
        <v>0</v>
      </c>
      <c r="G60" s="203">
        <v>0</v>
      </c>
      <c r="H60" s="203">
        <v>0</v>
      </c>
      <c r="I60" s="203">
        <v>0</v>
      </c>
      <c r="J60" s="203">
        <v>0</v>
      </c>
      <c r="K60" s="203">
        <v>0</v>
      </c>
      <c r="L60" s="203">
        <v>621.17999999999995</v>
      </c>
      <c r="M60" s="4">
        <v>312.23</v>
      </c>
      <c r="N60" s="4">
        <v>0</v>
      </c>
      <c r="O60" s="4">
        <v>1000</v>
      </c>
      <c r="P60" s="4">
        <v>1000</v>
      </c>
      <c r="Q60" s="255">
        <v>1000</v>
      </c>
      <c r="R60" s="4">
        <v>1000</v>
      </c>
      <c r="S60" s="4">
        <v>1000</v>
      </c>
      <c r="T60" s="4">
        <v>1000</v>
      </c>
      <c r="U60" s="4">
        <v>1000</v>
      </c>
      <c r="V60" s="306"/>
      <c r="AA60" s="280"/>
    </row>
    <row r="61" spans="1:27" s="1" customFormat="1" x14ac:dyDescent="0.2">
      <c r="A61" s="361"/>
      <c r="B61" s="195">
        <v>8156</v>
      </c>
      <c r="C61" s="219" t="s">
        <v>255</v>
      </c>
      <c r="D61" s="203">
        <v>0</v>
      </c>
      <c r="E61" s="203">
        <v>0</v>
      </c>
      <c r="F61" s="203">
        <v>0</v>
      </c>
      <c r="G61" s="203">
        <v>0</v>
      </c>
      <c r="H61" s="203">
        <v>0</v>
      </c>
      <c r="I61" s="203">
        <v>0</v>
      </c>
      <c r="J61" s="203">
        <v>0</v>
      </c>
      <c r="K61" s="203">
        <v>0</v>
      </c>
      <c r="L61" s="203">
        <v>0</v>
      </c>
      <c r="M61" s="4">
        <v>0</v>
      </c>
      <c r="N61" s="4">
        <v>0</v>
      </c>
      <c r="O61" s="4">
        <v>0</v>
      </c>
      <c r="P61" s="4">
        <v>0</v>
      </c>
      <c r="Q61" s="255">
        <v>2000</v>
      </c>
      <c r="R61" s="4">
        <v>2000</v>
      </c>
      <c r="S61" s="4">
        <v>2000</v>
      </c>
      <c r="T61" s="4">
        <v>2000</v>
      </c>
      <c r="U61" s="4">
        <v>2000</v>
      </c>
      <c r="V61" s="306"/>
      <c r="W61" s="1" t="s">
        <v>281</v>
      </c>
      <c r="AA61" s="277"/>
    </row>
    <row r="62" spans="1:27" s="1" customFormat="1" x14ac:dyDescent="0.2">
      <c r="A62" s="361"/>
      <c r="B62" s="195">
        <v>8157</v>
      </c>
      <c r="C62" s="219" t="s">
        <v>256</v>
      </c>
      <c r="D62" s="203">
        <v>0</v>
      </c>
      <c r="E62" s="203">
        <v>0</v>
      </c>
      <c r="F62" s="203">
        <v>0</v>
      </c>
      <c r="G62" s="203">
        <v>0</v>
      </c>
      <c r="H62" s="203">
        <v>0</v>
      </c>
      <c r="I62" s="203">
        <v>0</v>
      </c>
      <c r="J62" s="203">
        <v>0</v>
      </c>
      <c r="K62" s="203">
        <v>0</v>
      </c>
      <c r="L62" s="203">
        <v>0</v>
      </c>
      <c r="M62" s="4">
        <v>0</v>
      </c>
      <c r="N62" s="4">
        <v>0</v>
      </c>
      <c r="O62" s="4">
        <v>0</v>
      </c>
      <c r="P62" s="4">
        <v>0</v>
      </c>
      <c r="Q62" s="255">
        <v>2000</v>
      </c>
      <c r="R62" s="4">
        <v>2000</v>
      </c>
      <c r="S62" s="4">
        <v>2000</v>
      </c>
      <c r="T62" s="4">
        <v>2000</v>
      </c>
      <c r="U62" s="4">
        <v>2000</v>
      </c>
      <c r="V62" s="306"/>
      <c r="AA62" s="277"/>
    </row>
    <row r="63" spans="1:27" s="1" customFormat="1" x14ac:dyDescent="0.2">
      <c r="A63" s="361"/>
      <c r="B63" s="195">
        <v>8158</v>
      </c>
      <c r="C63" s="219" t="s">
        <v>280</v>
      </c>
      <c r="D63" s="203">
        <v>0</v>
      </c>
      <c r="E63" s="203">
        <v>0</v>
      </c>
      <c r="F63" s="203">
        <v>0</v>
      </c>
      <c r="G63" s="203">
        <v>0</v>
      </c>
      <c r="H63" s="203">
        <v>0</v>
      </c>
      <c r="I63" s="203">
        <v>0</v>
      </c>
      <c r="J63" s="203">
        <v>0</v>
      </c>
      <c r="K63" s="203">
        <v>0</v>
      </c>
      <c r="L63" s="203">
        <v>0</v>
      </c>
      <c r="M63" s="4">
        <v>0</v>
      </c>
      <c r="N63" s="4">
        <v>0</v>
      </c>
      <c r="O63" s="4">
        <v>0</v>
      </c>
      <c r="P63" s="4">
        <v>0</v>
      </c>
      <c r="Q63" s="255">
        <v>1000</v>
      </c>
      <c r="R63" s="4">
        <v>1000</v>
      </c>
      <c r="S63" s="4">
        <v>1000</v>
      </c>
      <c r="T63" s="4">
        <v>1000</v>
      </c>
      <c r="U63" s="4">
        <v>1000</v>
      </c>
      <c r="V63" s="306"/>
      <c r="AA63" s="277"/>
    </row>
    <row r="64" spans="1:27" s="1" customFormat="1" x14ac:dyDescent="0.2">
      <c r="A64" s="361"/>
      <c r="B64" s="195">
        <v>9060</v>
      </c>
      <c r="C64" s="219" t="s">
        <v>248</v>
      </c>
      <c r="D64" s="203">
        <v>133.32</v>
      </c>
      <c r="E64" s="201">
        <v>0</v>
      </c>
      <c r="F64" s="201">
        <v>0</v>
      </c>
      <c r="G64" s="201">
        <v>875.01</v>
      </c>
      <c r="H64" s="201">
        <v>3164.04</v>
      </c>
      <c r="I64" s="201">
        <v>17282.03</v>
      </c>
      <c r="J64" s="201">
        <v>19092.63</v>
      </c>
      <c r="K64" s="203">
        <f>18429.36-12361.08</f>
        <v>6068.2800000000007</v>
      </c>
      <c r="L64" s="203">
        <f>18822.46-12742.45+2500</f>
        <v>8580.0099999999984</v>
      </c>
      <c r="M64" s="4">
        <f>22679.03-M28</f>
        <v>6997.07</v>
      </c>
      <c r="N64" s="4">
        <v>8353.0300000000007</v>
      </c>
      <c r="O64" s="4">
        <v>10927.27</v>
      </c>
      <c r="P64" s="4">
        <v>10927.32</v>
      </c>
      <c r="Q64" s="255">
        <f>8594-1000</f>
        <v>7594</v>
      </c>
      <c r="R64" s="4">
        <f t="shared" ref="R64:U64" si="33">Q64*(1+$V64)</f>
        <v>7821.8200000000006</v>
      </c>
      <c r="S64" s="237">
        <f t="shared" si="33"/>
        <v>8056.4746000000005</v>
      </c>
      <c r="T64" s="237">
        <f t="shared" si="33"/>
        <v>8298.1688380000014</v>
      </c>
      <c r="U64" s="237">
        <f t="shared" si="33"/>
        <v>8547.1139031400016</v>
      </c>
      <c r="V64" s="303">
        <v>0.03</v>
      </c>
      <c r="AA64" s="277"/>
    </row>
    <row r="65" spans="1:22" hidden="1" x14ac:dyDescent="0.2">
      <c r="A65" s="361"/>
      <c r="B65" s="49"/>
      <c r="C65" s="49" t="s">
        <v>26</v>
      </c>
      <c r="D65" s="71">
        <v>0</v>
      </c>
      <c r="E65" s="4">
        <v>13146.84</v>
      </c>
      <c r="F65" s="4">
        <v>0</v>
      </c>
      <c r="G65" s="4">
        <v>0</v>
      </c>
      <c r="H65" s="18">
        <v>0</v>
      </c>
      <c r="I65" s="18">
        <v>0</v>
      </c>
      <c r="J65" s="18">
        <v>0</v>
      </c>
      <c r="K65" s="203">
        <v>0</v>
      </c>
      <c r="L65" s="203">
        <v>0</v>
      </c>
      <c r="M65" s="207">
        <v>0</v>
      </c>
      <c r="N65" s="201">
        <v>0</v>
      </c>
      <c r="O65" s="42">
        <v>0</v>
      </c>
      <c r="P65" s="201">
        <v>0</v>
      </c>
      <c r="Q65" s="255">
        <v>0</v>
      </c>
      <c r="R65" s="201"/>
      <c r="S65" s="201"/>
      <c r="T65" s="201"/>
      <c r="U65" s="201"/>
    </row>
    <row r="66" spans="1:22" ht="13.5" hidden="1" x14ac:dyDescent="0.2">
      <c r="A66" s="127">
        <v>9</v>
      </c>
      <c r="B66" s="49"/>
      <c r="C66" s="15" t="s">
        <v>17</v>
      </c>
      <c r="D66" s="19">
        <v>0</v>
      </c>
      <c r="E66" s="19">
        <v>0</v>
      </c>
      <c r="F66" s="19">
        <v>1541561.37</v>
      </c>
      <c r="G66" s="19">
        <v>0</v>
      </c>
      <c r="H66" s="19">
        <v>0</v>
      </c>
      <c r="I66" s="19">
        <v>0</v>
      </c>
      <c r="J66" s="19">
        <v>0</v>
      </c>
      <c r="K66" s="19">
        <v>0</v>
      </c>
      <c r="L66" s="19">
        <v>0</v>
      </c>
      <c r="M66" s="19">
        <v>0</v>
      </c>
      <c r="N66" s="19">
        <v>0</v>
      </c>
      <c r="O66" s="19">
        <v>0</v>
      </c>
      <c r="P66" s="19">
        <v>0</v>
      </c>
      <c r="Q66" s="269">
        <v>0</v>
      </c>
      <c r="R66" s="19"/>
      <c r="S66" s="19"/>
      <c r="T66" s="19"/>
      <c r="U66" s="19"/>
    </row>
    <row r="67" spans="1:22" ht="12.75" customHeight="1" x14ac:dyDescent="0.2">
      <c r="B67" s="348" t="s">
        <v>12</v>
      </c>
      <c r="C67" s="349"/>
      <c r="D67" s="65">
        <f t="shared" ref="D67:M67" si="34">SUM(D19:D65)</f>
        <v>23221289.520000003</v>
      </c>
      <c r="E67" s="65">
        <f t="shared" si="34"/>
        <v>26083620.809999999</v>
      </c>
      <c r="F67" s="65">
        <f t="shared" si="34"/>
        <v>30017941.659999996</v>
      </c>
      <c r="G67" s="65">
        <f t="shared" si="34"/>
        <v>32241283.16</v>
      </c>
      <c r="H67" s="65">
        <f t="shared" si="34"/>
        <v>31299955.799999997</v>
      </c>
      <c r="I67" s="65">
        <f t="shared" si="34"/>
        <v>37596640.910000011</v>
      </c>
      <c r="J67" s="65">
        <f t="shared" si="34"/>
        <v>39967852.06000001</v>
      </c>
      <c r="K67" s="65">
        <f t="shared" si="34"/>
        <v>43093857.269999981</v>
      </c>
      <c r="L67" s="65">
        <f t="shared" si="34"/>
        <v>48154505.209999993</v>
      </c>
      <c r="M67" s="65">
        <f t="shared" si="34"/>
        <v>49684221.040000007</v>
      </c>
      <c r="N67" s="65">
        <f>SUM(N19:N66)</f>
        <v>56113638.731730759</v>
      </c>
      <c r="O67" s="65">
        <f t="shared" ref="O67:U67" si="35">SUM(O19:O66)</f>
        <v>57590312.82</v>
      </c>
      <c r="P67" s="65">
        <f t="shared" si="35"/>
        <v>57400676.899999999</v>
      </c>
      <c r="Q67" s="255">
        <f t="shared" si="35"/>
        <v>59446862.61279998</v>
      </c>
      <c r="R67" s="65">
        <f t="shared" si="35"/>
        <v>62814617.647354387</v>
      </c>
      <c r="S67" s="65">
        <f t="shared" si="35"/>
        <v>66391902.01656881</v>
      </c>
      <c r="T67" s="65">
        <f t="shared" si="35"/>
        <v>70179379.097403586</v>
      </c>
      <c r="U67" s="65">
        <f t="shared" si="35"/>
        <v>74203819.880271822</v>
      </c>
    </row>
    <row r="68" spans="1:22" x14ac:dyDescent="0.2">
      <c r="K68" s="6"/>
      <c r="Q68" s="260"/>
    </row>
    <row r="69" spans="1:22" ht="13.5" x14ac:dyDescent="0.2">
      <c r="B69" s="341" t="s">
        <v>6</v>
      </c>
      <c r="C69" s="342"/>
      <c r="D69" s="62">
        <f>+D17-D67+718000</f>
        <v>5191793.4799999967</v>
      </c>
      <c r="E69" s="62">
        <f>+E17-E67+80600</f>
        <v>3424791.7300000004</v>
      </c>
      <c r="F69" s="62">
        <f t="shared" ref="F69:L69" si="36">+F17-F67</f>
        <v>6049580.090000011</v>
      </c>
      <c r="G69" s="62">
        <f t="shared" si="36"/>
        <v>4322079.1700000055</v>
      </c>
      <c r="H69" s="62">
        <f t="shared" si="36"/>
        <v>7300504.6200000048</v>
      </c>
      <c r="I69" s="62">
        <f t="shared" si="36"/>
        <v>2028921.1300000027</v>
      </c>
      <c r="J69" s="62">
        <f t="shared" si="36"/>
        <v>2598423.8199999928</v>
      </c>
      <c r="K69" s="62">
        <f t="shared" si="36"/>
        <v>1683668.19000002</v>
      </c>
      <c r="L69" s="62">
        <f t="shared" si="36"/>
        <v>4371865.6000000089</v>
      </c>
      <c r="M69" s="62">
        <f t="shared" ref="M69:U69" si="37">+M17-M67</f>
        <v>863807.80999999493</v>
      </c>
      <c r="N69" s="62">
        <f t="shared" si="37"/>
        <v>-953061.44173076004</v>
      </c>
      <c r="O69" s="62">
        <f t="shared" si="37"/>
        <v>-309558.46000000089</v>
      </c>
      <c r="P69" s="62">
        <f t="shared" si="37"/>
        <v>-692886.06000000238</v>
      </c>
      <c r="Q69" s="259">
        <f t="shared" si="37"/>
        <v>-1012001.7339086309</v>
      </c>
      <c r="R69" s="62">
        <f t="shared" si="37"/>
        <v>-833284.55559077859</v>
      </c>
      <c r="S69" s="62">
        <f t="shared" si="37"/>
        <v>-221212.90468870848</v>
      </c>
      <c r="T69" s="62">
        <f t="shared" si="37"/>
        <v>480624.97169910371</v>
      </c>
      <c r="U69" s="62">
        <f t="shared" si="37"/>
        <v>1266924.4208562076</v>
      </c>
    </row>
    <row r="70" spans="1:22" x14ac:dyDescent="0.2">
      <c r="B70" s="1"/>
      <c r="D70" s="1"/>
      <c r="E70" s="1"/>
      <c r="F70" s="1"/>
      <c r="G70" s="1"/>
      <c r="H70" s="1"/>
      <c r="I70" s="1"/>
      <c r="J70" s="1"/>
      <c r="K70" s="42"/>
      <c r="L70" s="1"/>
      <c r="M70" s="1"/>
      <c r="N70" s="1"/>
      <c r="O70" s="1"/>
      <c r="P70" s="1"/>
      <c r="Q70" s="260"/>
      <c r="R70" s="1"/>
      <c r="S70" s="1"/>
      <c r="T70" s="1"/>
      <c r="U70" s="1"/>
    </row>
    <row r="71" spans="1:22" ht="13.5" x14ac:dyDescent="0.2">
      <c r="B71" s="341" t="s">
        <v>9</v>
      </c>
      <c r="C71" s="342"/>
      <c r="D71" s="10">
        <f t="shared" ref="D71:L71" si="38">+D6+D69</f>
        <v>5191793.4799999967</v>
      </c>
      <c r="E71" s="10">
        <f t="shared" si="38"/>
        <v>8616585.2099999972</v>
      </c>
      <c r="F71" s="10">
        <f t="shared" si="38"/>
        <v>14666165.300000008</v>
      </c>
      <c r="G71" s="10">
        <f t="shared" si="38"/>
        <v>18988244.470000014</v>
      </c>
      <c r="H71" s="10">
        <f t="shared" si="38"/>
        <v>26288749.090000018</v>
      </c>
      <c r="I71" s="10">
        <f t="shared" si="38"/>
        <v>28317670.220000021</v>
      </c>
      <c r="J71" s="10">
        <f t="shared" si="38"/>
        <v>30916094.040000014</v>
      </c>
      <c r="K71" s="10">
        <f t="shared" si="38"/>
        <v>28164319.410000019</v>
      </c>
      <c r="L71" s="10">
        <f t="shared" si="38"/>
        <v>32536185.010000028</v>
      </c>
      <c r="M71" s="10">
        <f t="shared" ref="M71:U71" si="39">+M6+M69</f>
        <v>33399992.820000023</v>
      </c>
      <c r="N71" s="10">
        <f t="shared" si="39"/>
        <v>32446931.378269263</v>
      </c>
      <c r="O71" s="10">
        <f t="shared" si="39"/>
        <v>33090434.360000022</v>
      </c>
      <c r="P71" s="10">
        <f t="shared" si="39"/>
        <v>32707106.76000002</v>
      </c>
      <c r="Q71" s="253">
        <f t="shared" si="39"/>
        <v>31434929.644360632</v>
      </c>
      <c r="R71" s="10">
        <f t="shared" si="39"/>
        <v>30601645.088769853</v>
      </c>
      <c r="S71" s="10">
        <f t="shared" si="39"/>
        <v>30380432.184081145</v>
      </c>
      <c r="T71" s="10">
        <f t="shared" si="39"/>
        <v>30861057.155780248</v>
      </c>
      <c r="U71" s="10">
        <f t="shared" si="39"/>
        <v>32127981.576636456</v>
      </c>
    </row>
    <row r="72" spans="1:22" x14ac:dyDescent="0.2">
      <c r="B72" s="1"/>
      <c r="K72" s="6"/>
      <c r="L72" s="22"/>
      <c r="M72" s="22"/>
      <c r="Q72" s="260"/>
    </row>
    <row r="73" spans="1:22" ht="13.5" x14ac:dyDescent="0.2">
      <c r="B73" s="92" t="s">
        <v>22</v>
      </c>
      <c r="C73" s="103"/>
      <c r="D73" s="103"/>
      <c r="E73" s="103"/>
      <c r="F73" s="103"/>
      <c r="G73" s="103"/>
      <c r="H73" s="103"/>
      <c r="I73" s="104"/>
      <c r="J73" s="104"/>
      <c r="K73" s="104"/>
      <c r="L73" s="104"/>
      <c r="M73" s="104"/>
      <c r="N73" s="104"/>
      <c r="O73" s="104"/>
      <c r="P73" s="104"/>
      <c r="Q73" s="273"/>
      <c r="R73" s="232"/>
      <c r="S73" s="232"/>
      <c r="T73" s="232"/>
      <c r="U73" s="232"/>
    </row>
    <row r="74" spans="1:22" ht="12.75" customHeight="1" x14ac:dyDescent="0.2">
      <c r="A74" s="357" t="s">
        <v>133</v>
      </c>
      <c r="B74" s="284">
        <v>4010</v>
      </c>
      <c r="C74" s="102" t="s">
        <v>7</v>
      </c>
      <c r="D74" s="101">
        <v>3043382</v>
      </c>
      <c r="E74" s="101">
        <f>+E67*0.12</f>
        <v>3130034.4971999996</v>
      </c>
      <c r="F74" s="101">
        <f>(+F19+F21)*0.12</f>
        <v>3418508.7623999999</v>
      </c>
      <c r="G74" s="101">
        <f>(+G19+G21)*0.12</f>
        <v>3641387.5475999997</v>
      </c>
      <c r="H74" s="101">
        <f>(+H19+H21)*0.12</f>
        <v>3532370.4047999997</v>
      </c>
      <c r="I74" s="101">
        <f>(+I19+I21)*0.12</f>
        <v>4285118.7060000002</v>
      </c>
      <c r="J74" s="101">
        <f>(+J19+J21)*0.12</f>
        <v>4494760.7231999999</v>
      </c>
      <c r="K74" s="101">
        <v>4931847</v>
      </c>
      <c r="L74" s="101">
        <v>5637280</v>
      </c>
      <c r="M74" s="101">
        <v>5828922</v>
      </c>
      <c r="N74" s="101">
        <v>5828922</v>
      </c>
      <c r="O74" s="101">
        <v>5828922</v>
      </c>
      <c r="P74" s="101">
        <v>5828922</v>
      </c>
      <c r="Q74" s="255">
        <f>0.12*(Q19+Q21+Q22+Q23)</f>
        <v>6733980.5171999987</v>
      </c>
      <c r="R74" s="101">
        <f t="shared" ref="R74:U74" si="40">0.12*(R19+R21+R22+R23)</f>
        <v>7121070.1279079989</v>
      </c>
      <c r="S74" s="101">
        <f t="shared" si="40"/>
        <v>7531295.6770628393</v>
      </c>
      <c r="T74" s="101">
        <f t="shared" si="40"/>
        <v>7966097.6358516542</v>
      </c>
      <c r="U74" s="101">
        <f t="shared" si="40"/>
        <v>8427009.776538441</v>
      </c>
      <c r="V74" s="302" t="s">
        <v>257</v>
      </c>
    </row>
    <row r="75" spans="1:22" x14ac:dyDescent="0.2">
      <c r="A75" s="358"/>
      <c r="B75" s="284">
        <v>5010</v>
      </c>
      <c r="C75" s="102" t="s">
        <v>30</v>
      </c>
      <c r="D75" s="101">
        <v>1289746</v>
      </c>
      <c r="E75" s="101">
        <f>+E9*0.05</f>
        <v>1428380.9364999998</v>
      </c>
      <c r="F75" s="101">
        <f>+F9*0.05</f>
        <v>1722850.7075000005</v>
      </c>
      <c r="G75" s="101">
        <f>+G9*0.05</f>
        <v>1803282.7625000004</v>
      </c>
      <c r="H75" s="101">
        <f>+H9*0.05</f>
        <v>1879367.6370000001</v>
      </c>
      <c r="I75" s="101">
        <f>+I9*0.05</f>
        <v>1925997.7710000002</v>
      </c>
      <c r="J75" s="101">
        <v>2038725</v>
      </c>
      <c r="K75" s="101">
        <f>+K9*0.05</f>
        <v>2120085.2765000002</v>
      </c>
      <c r="L75" s="101">
        <v>2514837</v>
      </c>
      <c r="M75" s="101">
        <v>2409497</v>
      </c>
      <c r="N75" s="101">
        <v>2409497</v>
      </c>
      <c r="O75" s="101">
        <v>2409497</v>
      </c>
      <c r="P75" s="101">
        <v>2409497</v>
      </c>
      <c r="Q75" s="255">
        <f>0.05*Q9</f>
        <v>2828631.3111000005</v>
      </c>
      <c r="R75" s="101">
        <f t="shared" ref="R75:U75" si="41">0.05*R9</f>
        <v>2998349.1897660005</v>
      </c>
      <c r="S75" s="101">
        <f t="shared" si="41"/>
        <v>3208233.6330496203</v>
      </c>
      <c r="T75" s="101">
        <f t="shared" si="41"/>
        <v>3432809.9873630945</v>
      </c>
      <c r="U75" s="101">
        <f t="shared" si="41"/>
        <v>3673106.6864785114</v>
      </c>
      <c r="V75" s="302" t="s">
        <v>258</v>
      </c>
    </row>
    <row r="76" spans="1:22" ht="12.75" customHeight="1" x14ac:dyDescent="0.2">
      <c r="A76" s="359" t="s">
        <v>134</v>
      </c>
      <c r="B76" s="285">
        <v>5014</v>
      </c>
      <c r="C76" s="105" t="s">
        <v>35</v>
      </c>
      <c r="D76" s="107"/>
      <c r="E76" s="107"/>
      <c r="F76" s="107"/>
      <c r="G76" s="107">
        <v>0</v>
      </c>
      <c r="H76" s="107">
        <f>(H19+H21)*0.05</f>
        <v>1471821.0020000001</v>
      </c>
      <c r="I76" s="107">
        <f>(I19+I21)*0.05</f>
        <v>1785466.1275000004</v>
      </c>
      <c r="J76" s="107">
        <v>1868819</v>
      </c>
      <c r="K76" s="107">
        <v>2100000</v>
      </c>
      <c r="L76" s="107">
        <v>2184812</v>
      </c>
      <c r="M76" s="107">
        <v>3391769</v>
      </c>
      <c r="N76" s="107">
        <v>3391769</v>
      </c>
      <c r="O76" s="107">
        <v>3391769</v>
      </c>
      <c r="P76" s="107">
        <v>3391769</v>
      </c>
      <c r="Q76" s="255">
        <f>0.075*(Q19+Q21+Q22+Q23)</f>
        <v>4208737.8232499994</v>
      </c>
      <c r="R76" s="107">
        <f t="shared" ref="R76:U76" si="42">0.075*(R19+R21+R22+R23)</f>
        <v>4450668.8299424993</v>
      </c>
      <c r="S76" s="107">
        <f t="shared" si="42"/>
        <v>4707059.7981642745</v>
      </c>
      <c r="T76" s="107">
        <f t="shared" si="42"/>
        <v>4978811.022407284</v>
      </c>
      <c r="U76" s="107">
        <f t="shared" si="42"/>
        <v>5266881.1103365254</v>
      </c>
      <c r="V76" s="302" t="s">
        <v>259</v>
      </c>
    </row>
    <row r="77" spans="1:22" x14ac:dyDescent="0.2">
      <c r="A77" s="360"/>
      <c r="B77" s="285">
        <v>5012</v>
      </c>
      <c r="C77" s="105" t="s">
        <v>31</v>
      </c>
      <c r="D77" s="106"/>
      <c r="E77" s="106"/>
      <c r="F77" s="106"/>
      <c r="G77" s="107">
        <f>(G19+G21)*0.02</f>
        <v>606897.92460000003</v>
      </c>
      <c r="H77" s="107">
        <v>1050000</v>
      </c>
      <c r="I77" s="107">
        <v>1050000</v>
      </c>
      <c r="J77" s="107">
        <v>1350000</v>
      </c>
      <c r="K77" s="107">
        <v>2000000</v>
      </c>
      <c r="L77" s="107">
        <v>2800000</v>
      </c>
      <c r="M77" s="107">
        <v>5032220</v>
      </c>
      <c r="N77" s="107">
        <f>4500000+P9-N9</f>
        <v>5623635.7199999988</v>
      </c>
      <c r="O77" s="107">
        <f>N77</f>
        <v>5623635.7199999988</v>
      </c>
      <c r="P77" s="107">
        <f>O77</f>
        <v>5623635.7199999988</v>
      </c>
      <c r="Q77" s="255">
        <f>P77</f>
        <v>5623635.7199999988</v>
      </c>
      <c r="R77" s="107">
        <f>Q77</f>
        <v>5623635.7199999988</v>
      </c>
      <c r="S77" s="107">
        <f t="shared" ref="S77:U77" si="43">R77</f>
        <v>5623635.7199999988</v>
      </c>
      <c r="T77" s="107">
        <f t="shared" si="43"/>
        <v>5623635.7199999988</v>
      </c>
      <c r="U77" s="107">
        <f t="shared" si="43"/>
        <v>5623635.7199999988</v>
      </c>
    </row>
    <row r="78" spans="1:22" x14ac:dyDescent="0.2">
      <c r="B78" s="1"/>
      <c r="C78" s="7" t="s">
        <v>23</v>
      </c>
      <c r="D78" s="13">
        <f>SUM(D74:D75)</f>
        <v>4333128</v>
      </c>
      <c r="E78" s="13">
        <f>SUM(E74:E75)</f>
        <v>4558415.433699999</v>
      </c>
      <c r="F78" s="13">
        <f>SUM(F74:F75)</f>
        <v>5141359.4699000008</v>
      </c>
      <c r="G78" s="13">
        <f>SUM(G74:G77)</f>
        <v>6051568.2346999999</v>
      </c>
      <c r="H78" s="13">
        <f t="shared" ref="H78" si="44">SUM(H74:H77)</f>
        <v>7933559.0438000001</v>
      </c>
      <c r="I78" s="13">
        <f t="shared" ref="I78:J78" si="45">SUM(I74:I77)</f>
        <v>9046582.6044999994</v>
      </c>
      <c r="J78" s="13">
        <f t="shared" si="45"/>
        <v>9752304.7232000008</v>
      </c>
      <c r="K78" s="13">
        <f t="shared" ref="K78:U78" si="46">SUM(K74:K77)</f>
        <v>11151932.2765</v>
      </c>
      <c r="L78" s="13">
        <f t="shared" si="46"/>
        <v>13136929</v>
      </c>
      <c r="M78" s="13">
        <f t="shared" si="46"/>
        <v>16662408</v>
      </c>
      <c r="N78" s="13">
        <f t="shared" si="46"/>
        <v>17253823.719999999</v>
      </c>
      <c r="O78" s="13">
        <f t="shared" si="46"/>
        <v>17253823.719999999</v>
      </c>
      <c r="P78" s="13">
        <f t="shared" si="46"/>
        <v>17253823.719999999</v>
      </c>
      <c r="Q78" s="262">
        <f t="shared" si="46"/>
        <v>19394985.371549997</v>
      </c>
      <c r="R78" s="13">
        <f t="shared" si="46"/>
        <v>20193723.867616497</v>
      </c>
      <c r="S78" s="13">
        <f t="shared" si="46"/>
        <v>21070224.828276731</v>
      </c>
      <c r="T78" s="13">
        <f t="shared" si="46"/>
        <v>22001354.365622029</v>
      </c>
      <c r="U78" s="13">
        <f t="shared" si="46"/>
        <v>22990633.293353476</v>
      </c>
    </row>
    <row r="79" spans="1:22" x14ac:dyDescent="0.2">
      <c r="B79" s="1"/>
      <c r="Q79" s="260"/>
    </row>
    <row r="80" spans="1:22" ht="13.5" x14ac:dyDescent="0.2">
      <c r="B80" s="343" t="s">
        <v>10</v>
      </c>
      <c r="C80" s="344"/>
      <c r="D80" s="20">
        <f>+D71-D78</f>
        <v>858665.47999999672</v>
      </c>
      <c r="E80" s="20">
        <f>+E71-E78</f>
        <v>4058169.7762999982</v>
      </c>
      <c r="F80" s="20">
        <f>+F71-F78</f>
        <v>9524805.8301000074</v>
      </c>
      <c r="G80" s="20">
        <f t="shared" ref="G80:I80" si="47">+G71-G78</f>
        <v>12936676.235300014</v>
      </c>
      <c r="H80" s="20">
        <f t="shared" si="47"/>
        <v>18355190.046200018</v>
      </c>
      <c r="I80" s="20">
        <f t="shared" si="47"/>
        <v>19271087.615500022</v>
      </c>
      <c r="J80" s="20">
        <f t="shared" ref="J80:K80" si="48">+J71-J78</f>
        <v>21163789.316800013</v>
      </c>
      <c r="K80" s="20">
        <f t="shared" si="48"/>
        <v>17012387.133500017</v>
      </c>
      <c r="L80" s="20">
        <f t="shared" ref="L80:M80" si="49">+L71-L78</f>
        <v>19399256.010000028</v>
      </c>
      <c r="M80" s="20">
        <f t="shared" si="49"/>
        <v>16737584.820000023</v>
      </c>
      <c r="N80" s="20">
        <f t="shared" ref="N80" si="50">+N71-N78</f>
        <v>15193107.658269264</v>
      </c>
      <c r="O80" s="20">
        <f t="shared" ref="O80:P80" si="51">+O71-O78</f>
        <v>15836610.640000023</v>
      </c>
      <c r="P80" s="20">
        <f t="shared" si="51"/>
        <v>15453283.040000021</v>
      </c>
      <c r="Q80" s="263">
        <f t="shared" ref="Q80:U80" si="52">+Q71-Q78</f>
        <v>12039944.272810634</v>
      </c>
      <c r="R80" s="20">
        <f t="shared" si="52"/>
        <v>10407921.221153356</v>
      </c>
      <c r="S80" s="20">
        <f t="shared" si="52"/>
        <v>9310207.3558044136</v>
      </c>
      <c r="T80" s="20">
        <f t="shared" si="52"/>
        <v>8859702.7901582196</v>
      </c>
      <c r="U80" s="20">
        <f t="shared" si="52"/>
        <v>9137348.2832829803</v>
      </c>
    </row>
    <row r="81" spans="2:21" ht="13.5" x14ac:dyDescent="0.2">
      <c r="B81" s="345"/>
      <c r="C81" s="346"/>
      <c r="D81" s="39">
        <f t="shared" ref="D81:M81" si="53">+D80/D9</f>
        <v>3.2980731441936854E-2</v>
      </c>
      <c r="E81" s="39">
        <f t="shared" si="53"/>
        <v>0.1420548844009302</v>
      </c>
      <c r="F81" s="39">
        <f t="shared" si="53"/>
        <v>0.27642574567361361</v>
      </c>
      <c r="G81" s="39">
        <f t="shared" si="53"/>
        <v>0.35869793978857523</v>
      </c>
      <c r="H81" s="39">
        <f t="shared" si="53"/>
        <v>0.48833420574114145</v>
      </c>
      <c r="I81" s="39">
        <f t="shared" si="53"/>
        <v>0.50028841947969271</v>
      </c>
      <c r="J81" s="39">
        <f t="shared" si="53"/>
        <v>0.51904482660247186</v>
      </c>
      <c r="K81" s="39">
        <f t="shared" si="53"/>
        <v>0.40121940664541039</v>
      </c>
      <c r="L81" s="39">
        <f t="shared" si="53"/>
        <v>0.38569612462654745</v>
      </c>
      <c r="M81" s="39">
        <f t="shared" si="53"/>
        <v>0.3473252861164835</v>
      </c>
      <c r="N81" s="39">
        <f t="shared" ref="N81:Q81" si="54">+N80/N9</f>
        <v>0.28198731624339912</v>
      </c>
      <c r="O81" s="39">
        <f t="shared" si="54"/>
        <v>0.28342779830932235</v>
      </c>
      <c r="P81" s="39">
        <f t="shared" si="54"/>
        <v>0.28095689367570831</v>
      </c>
      <c r="Q81" s="264">
        <f t="shared" si="54"/>
        <v>0.21282279216743402</v>
      </c>
      <c r="R81" s="39">
        <f t="shared" ref="R81:U81" si="55">+R80/R9</f>
        <v>0.17356085903332727</v>
      </c>
      <c r="S81" s="39">
        <f t="shared" si="55"/>
        <v>0.14509864961041657</v>
      </c>
      <c r="T81" s="39">
        <f t="shared" si="55"/>
        <v>0.12904446827486338</v>
      </c>
      <c r="U81" s="39">
        <f t="shared" si="55"/>
        <v>0.12438174361936596</v>
      </c>
    </row>
    <row r="82" spans="2:21" ht="15.95" customHeight="1" x14ac:dyDescent="0.2">
      <c r="B82" s="58"/>
      <c r="C82" s="14"/>
      <c r="D82" s="14"/>
      <c r="E82" s="109"/>
      <c r="F82" s="109"/>
      <c r="G82" s="14"/>
      <c r="H82" s="57"/>
      <c r="I82" s="14"/>
      <c r="J82" s="67"/>
      <c r="K82" s="67"/>
      <c r="L82" s="67"/>
      <c r="N82" s="240"/>
      <c r="O82" s="240"/>
      <c r="P82" s="240"/>
      <c r="Q82" s="247"/>
      <c r="R82" s="240"/>
      <c r="S82" s="240"/>
      <c r="T82" s="240"/>
      <c r="U82" s="240"/>
    </row>
    <row r="83" spans="2:21" ht="15.95" customHeight="1" x14ac:dyDescent="0.2">
      <c r="B83" s="289" t="s">
        <v>266</v>
      </c>
      <c r="C83" s="290"/>
      <c r="D83" s="290"/>
      <c r="E83" s="290"/>
      <c r="F83" s="290"/>
      <c r="G83" s="290"/>
      <c r="H83" s="290"/>
      <c r="I83" s="290"/>
      <c r="J83" s="290"/>
      <c r="K83" s="291"/>
      <c r="L83" s="67"/>
      <c r="M83" s="67"/>
      <c r="N83" s="67"/>
      <c r="O83" s="67"/>
      <c r="P83" s="67"/>
      <c r="Q83" s="248"/>
      <c r="R83" s="67"/>
      <c r="S83" s="67"/>
      <c r="T83" s="67"/>
      <c r="U83" s="67"/>
    </row>
    <row r="84" spans="2:21" ht="15.95" customHeight="1" x14ac:dyDescent="0.2">
      <c r="B84" s="223" t="s">
        <v>284</v>
      </c>
      <c r="C84" s="224"/>
      <c r="D84" s="224"/>
      <c r="E84" s="224"/>
      <c r="F84" s="224"/>
      <c r="G84" s="224"/>
      <c r="H84" s="224"/>
      <c r="I84" s="224"/>
      <c r="J84" s="224"/>
      <c r="K84" s="224"/>
      <c r="L84" s="224"/>
      <c r="M84" s="224"/>
      <c r="N84" s="224"/>
      <c r="O84" s="224"/>
      <c r="P84" s="224"/>
      <c r="Q84" s="224"/>
      <c r="R84" s="282"/>
      <c r="S84" s="282"/>
      <c r="T84" s="282"/>
      <c r="U84" s="283"/>
    </row>
    <row r="85" spans="2:21" ht="15.95" customHeight="1" x14ac:dyDescent="0.2">
      <c r="B85" s="223" t="s">
        <v>318</v>
      </c>
      <c r="C85" s="224"/>
      <c r="D85" s="224"/>
      <c r="E85" s="224"/>
      <c r="F85" s="224"/>
      <c r="G85" s="224"/>
      <c r="H85" s="224"/>
      <c r="I85" s="224"/>
      <c r="J85" s="224"/>
      <c r="K85" s="224"/>
      <c r="L85" s="224"/>
      <c r="M85" s="224"/>
      <c r="N85" s="224"/>
      <c r="O85" s="224"/>
      <c r="P85" s="224"/>
      <c r="Q85" s="224"/>
      <c r="R85" s="282"/>
      <c r="S85" s="282"/>
      <c r="T85" s="282"/>
      <c r="U85" s="283"/>
    </row>
    <row r="86" spans="2:21" ht="15.95" customHeight="1" x14ac:dyDescent="0.2">
      <c r="B86" s="223" t="s">
        <v>285</v>
      </c>
      <c r="C86" s="224"/>
      <c r="D86" s="224"/>
      <c r="E86" s="224"/>
      <c r="F86" s="224"/>
      <c r="G86" s="224"/>
      <c r="H86" s="224"/>
      <c r="I86" s="224"/>
      <c r="J86" s="224"/>
      <c r="K86" s="224"/>
      <c r="L86" s="224"/>
      <c r="M86" s="224"/>
      <c r="N86" s="224"/>
      <c r="O86" s="224"/>
      <c r="P86" s="224"/>
      <c r="Q86" s="224"/>
      <c r="R86" s="282"/>
      <c r="S86" s="282"/>
      <c r="T86" s="282"/>
      <c r="U86" s="283"/>
    </row>
    <row r="87" spans="2:21" ht="15.95" customHeight="1" x14ac:dyDescent="0.2">
      <c r="B87" s="223" t="s">
        <v>286</v>
      </c>
      <c r="C87" s="224"/>
      <c r="D87" s="224"/>
      <c r="E87" s="224"/>
      <c r="F87" s="224"/>
      <c r="G87" s="224"/>
      <c r="H87" s="224"/>
      <c r="I87" s="224"/>
      <c r="J87" s="224"/>
      <c r="K87" s="224"/>
      <c r="L87" s="224"/>
      <c r="M87" s="224"/>
      <c r="N87" s="224"/>
      <c r="O87" s="224"/>
      <c r="P87" s="224"/>
      <c r="Q87" s="224"/>
      <c r="R87" s="224"/>
      <c r="S87" s="224"/>
      <c r="T87" s="224"/>
      <c r="U87" s="225"/>
    </row>
    <row r="88" spans="2:21" ht="15.95" customHeight="1" x14ac:dyDescent="0.2">
      <c r="B88" s="352" t="s">
        <v>287</v>
      </c>
      <c r="C88" s="353"/>
      <c r="D88" s="353"/>
      <c r="E88" s="353"/>
      <c r="F88" s="353"/>
      <c r="G88" s="353"/>
      <c r="H88" s="353"/>
      <c r="I88" s="353"/>
      <c r="J88" s="353"/>
      <c r="K88" s="353"/>
      <c r="L88" s="353"/>
      <c r="M88" s="353"/>
      <c r="N88" s="353"/>
      <c r="O88" s="353"/>
      <c r="P88" s="353"/>
      <c r="Q88" s="353"/>
      <c r="R88" s="353"/>
      <c r="S88" s="353"/>
      <c r="T88" s="353"/>
      <c r="U88" s="354"/>
    </row>
    <row r="89" spans="2:21" ht="15.95" customHeight="1" x14ac:dyDescent="0.2">
      <c r="B89" s="223" t="s">
        <v>137</v>
      </c>
      <c r="C89" s="224"/>
      <c r="D89" s="224"/>
      <c r="E89" s="224"/>
      <c r="F89" s="224"/>
      <c r="G89" s="224"/>
      <c r="H89" s="224"/>
      <c r="I89" s="224"/>
      <c r="J89" s="224"/>
      <c r="K89" s="224"/>
      <c r="L89" s="224"/>
      <c r="M89" s="224"/>
      <c r="N89" s="224"/>
      <c r="O89" s="224"/>
      <c r="P89" s="224"/>
      <c r="Q89" s="224"/>
      <c r="R89" s="224"/>
      <c r="S89" s="224"/>
      <c r="T89" s="224"/>
      <c r="U89" s="225"/>
    </row>
    <row r="90" spans="2:21" ht="15.95" customHeight="1" x14ac:dyDescent="0.2">
      <c r="B90" s="223" t="s">
        <v>71</v>
      </c>
      <c r="C90" s="224"/>
      <c r="D90" s="224"/>
      <c r="E90" s="224"/>
      <c r="F90" s="224"/>
      <c r="G90" s="224"/>
      <c r="H90" s="224"/>
      <c r="I90" s="224"/>
      <c r="J90" s="224"/>
      <c r="K90" s="224"/>
      <c r="L90" s="224"/>
      <c r="M90" s="224"/>
      <c r="N90" s="224"/>
      <c r="O90" s="224"/>
      <c r="P90" s="224"/>
      <c r="Q90" s="224"/>
      <c r="R90" s="224"/>
      <c r="S90" s="224"/>
      <c r="T90" s="224"/>
      <c r="U90" s="225"/>
    </row>
    <row r="91" spans="2:21" ht="15.95" customHeight="1" x14ac:dyDescent="0.2">
      <c r="B91" s="223" t="s">
        <v>56</v>
      </c>
      <c r="C91" s="224"/>
      <c r="D91" s="224"/>
      <c r="E91" s="224"/>
      <c r="F91" s="224"/>
      <c r="G91" s="224"/>
      <c r="H91" s="224"/>
      <c r="I91" s="224"/>
      <c r="J91" s="224"/>
      <c r="K91" s="224"/>
      <c r="L91" s="224"/>
      <c r="M91" s="224"/>
      <c r="N91" s="224"/>
      <c r="O91" s="224"/>
      <c r="P91" s="224"/>
      <c r="Q91" s="224"/>
      <c r="R91" s="224"/>
      <c r="S91" s="224"/>
      <c r="T91" s="224"/>
      <c r="U91" s="225"/>
    </row>
    <row r="92" spans="2:21" ht="15.95" customHeight="1" x14ac:dyDescent="0.2">
      <c r="B92" s="223" t="s">
        <v>138</v>
      </c>
      <c r="C92" s="224"/>
      <c r="D92" s="224"/>
      <c r="E92" s="224"/>
      <c r="F92" s="224"/>
      <c r="G92" s="224"/>
      <c r="H92" s="224"/>
      <c r="I92" s="224"/>
      <c r="J92" s="224"/>
      <c r="K92" s="224"/>
      <c r="L92" s="224"/>
      <c r="M92" s="224"/>
      <c r="N92" s="224"/>
      <c r="O92" s="224"/>
      <c r="P92" s="224"/>
      <c r="Q92" s="224"/>
      <c r="R92" s="224"/>
      <c r="S92" s="224"/>
      <c r="T92" s="224"/>
      <c r="U92" s="225"/>
    </row>
    <row r="93" spans="2:21" ht="15.95" customHeight="1" x14ac:dyDescent="0.2">
      <c r="B93" s="223" t="s">
        <v>288</v>
      </c>
      <c r="C93" s="224"/>
      <c r="D93" s="224"/>
      <c r="E93" s="224"/>
      <c r="F93" s="224"/>
      <c r="G93" s="224"/>
      <c r="H93" s="224"/>
      <c r="I93" s="224"/>
      <c r="J93" s="224"/>
      <c r="K93" s="224"/>
      <c r="L93" s="224"/>
      <c r="M93" s="224"/>
      <c r="N93" s="224"/>
      <c r="O93" s="224"/>
      <c r="P93" s="224"/>
      <c r="Q93" s="224"/>
      <c r="R93" s="224"/>
      <c r="S93" s="224"/>
      <c r="T93" s="224"/>
      <c r="U93" s="225"/>
    </row>
    <row r="94" spans="2:21" ht="15.95" customHeight="1" x14ac:dyDescent="0.2">
      <c r="B94" s="223" t="s">
        <v>289</v>
      </c>
      <c r="C94" s="224"/>
      <c r="D94" s="224"/>
      <c r="E94" s="224"/>
      <c r="F94" s="224"/>
      <c r="G94" s="224"/>
      <c r="H94" s="224"/>
      <c r="I94" s="224"/>
      <c r="J94" s="224"/>
      <c r="K94" s="224"/>
      <c r="L94" s="224"/>
      <c r="M94" s="224"/>
      <c r="N94" s="224"/>
      <c r="O94" s="224"/>
      <c r="P94" s="224"/>
      <c r="Q94" s="224"/>
      <c r="R94" s="224"/>
      <c r="S94" s="224"/>
      <c r="T94" s="224"/>
      <c r="U94" s="225"/>
    </row>
    <row r="95" spans="2:21" ht="15.95" customHeight="1" x14ac:dyDescent="0.2">
      <c r="B95" s="229" t="s">
        <v>290</v>
      </c>
      <c r="C95" s="230"/>
      <c r="D95" s="230"/>
      <c r="E95" s="230"/>
      <c r="F95" s="230"/>
      <c r="G95" s="230"/>
      <c r="H95" s="230"/>
      <c r="I95" s="230"/>
      <c r="J95" s="230"/>
      <c r="K95" s="230"/>
      <c r="L95" s="230"/>
      <c r="M95" s="230"/>
      <c r="N95" s="230"/>
      <c r="O95" s="230"/>
      <c r="P95" s="230"/>
      <c r="Q95" s="230"/>
      <c r="R95" s="230"/>
      <c r="S95" s="230"/>
      <c r="T95" s="230"/>
      <c r="U95" s="231"/>
    </row>
    <row r="96" spans="2:21" ht="15.95" customHeight="1" x14ac:dyDescent="0.2">
      <c r="B96" s="229" t="s">
        <v>291</v>
      </c>
      <c r="C96" s="230"/>
      <c r="D96" s="230"/>
      <c r="E96" s="230"/>
      <c r="F96" s="230"/>
      <c r="G96" s="230"/>
      <c r="H96" s="230"/>
      <c r="I96" s="230"/>
      <c r="J96" s="230"/>
      <c r="K96" s="230"/>
      <c r="L96" s="230"/>
      <c r="M96" s="230"/>
      <c r="N96" s="230"/>
      <c r="O96" s="230"/>
      <c r="P96" s="230"/>
      <c r="Q96" s="230"/>
      <c r="R96" s="230"/>
      <c r="S96" s="230"/>
      <c r="T96" s="230"/>
      <c r="U96" s="231"/>
    </row>
    <row r="97" spans="2:21" ht="15.95" customHeight="1" x14ac:dyDescent="0.2">
      <c r="B97" s="226" t="s">
        <v>292</v>
      </c>
      <c r="C97" s="227"/>
      <c r="D97" s="227"/>
      <c r="E97" s="227"/>
      <c r="F97" s="227"/>
      <c r="G97" s="227"/>
      <c r="H97" s="227"/>
      <c r="I97" s="227"/>
      <c r="J97" s="227"/>
      <c r="K97" s="227"/>
      <c r="L97" s="227"/>
      <c r="M97" s="227"/>
      <c r="N97" s="227"/>
      <c r="O97" s="227"/>
      <c r="P97" s="227"/>
      <c r="Q97" s="227"/>
      <c r="R97" s="227"/>
      <c r="S97" s="227"/>
      <c r="T97" s="227"/>
      <c r="U97" s="228"/>
    </row>
    <row r="98" spans="2:21" ht="15.95" customHeight="1" x14ac:dyDescent="0.2">
      <c r="B98" s="226" t="s">
        <v>293</v>
      </c>
      <c r="C98" s="227"/>
      <c r="D98" s="227"/>
      <c r="E98" s="227"/>
      <c r="F98" s="227"/>
      <c r="G98" s="227"/>
      <c r="H98" s="227"/>
      <c r="I98" s="227"/>
      <c r="J98" s="227"/>
      <c r="K98" s="227"/>
      <c r="L98" s="227"/>
      <c r="M98" s="227"/>
      <c r="N98" s="227"/>
      <c r="O98" s="227"/>
      <c r="P98" s="227"/>
      <c r="Q98" s="227"/>
      <c r="R98" s="227"/>
      <c r="S98" s="227"/>
      <c r="T98" s="227"/>
      <c r="U98" s="228"/>
    </row>
    <row r="99" spans="2:21" ht="15.95" customHeight="1" x14ac:dyDescent="0.2">
      <c r="B99" s="294"/>
      <c r="C99" s="295"/>
      <c r="D99" s="292"/>
      <c r="E99" s="292"/>
      <c r="F99" s="292"/>
      <c r="G99" s="292"/>
      <c r="H99" s="292"/>
      <c r="I99" s="292"/>
      <c r="J99" s="292"/>
      <c r="K99" s="293"/>
      <c r="L99" s="76"/>
      <c r="M99" s="21"/>
      <c r="N99" s="21"/>
      <c r="O99" s="21"/>
      <c r="P99" s="21"/>
      <c r="Q99" s="249"/>
      <c r="R99" s="21"/>
      <c r="S99" s="21"/>
      <c r="T99" s="21"/>
      <c r="U99" s="21"/>
    </row>
    <row r="100" spans="2:21" x14ac:dyDescent="0.2">
      <c r="B100" s="340" t="s">
        <v>52</v>
      </c>
      <c r="C100" s="340"/>
      <c r="D100" s="46">
        <f>+E100</f>
        <v>50.122058228417259</v>
      </c>
      <c r="E100" s="46">
        <f>+E12/E5/2</f>
        <v>50.122058228417259</v>
      </c>
      <c r="F100" s="46">
        <f t="shared" ref="F100:L100" si="56">+F12/F5</f>
        <v>50.196620051211347</v>
      </c>
      <c r="G100" s="46">
        <f t="shared" si="56"/>
        <v>54.821145251396651</v>
      </c>
      <c r="H100" s="46">
        <f t="shared" si="56"/>
        <v>136.62916351324438</v>
      </c>
      <c r="I100" s="46">
        <f t="shared" si="56"/>
        <v>140.12134110211338</v>
      </c>
      <c r="J100" s="46">
        <f t="shared" si="56"/>
        <v>314.71909706109818</v>
      </c>
      <c r="K100" s="46">
        <f t="shared" si="56"/>
        <v>334.36019227071716</v>
      </c>
      <c r="L100" s="46">
        <f t="shared" si="56"/>
        <v>257.68902726246171</v>
      </c>
      <c r="M100" s="46">
        <f>+M12/M5</f>
        <v>314.85519043824701</v>
      </c>
      <c r="N100" s="46">
        <f>+N12/N5</f>
        <v>195.24732627921668</v>
      </c>
      <c r="O100" s="46">
        <f t="shared" ref="O100:U100" si="57">+O12/O5</f>
        <v>221.09917877447884</v>
      </c>
      <c r="P100" s="46">
        <f t="shared" si="57"/>
        <v>268.0965147453083</v>
      </c>
      <c r="Q100" s="46">
        <f t="shared" si="57"/>
        <v>268.47757422615285</v>
      </c>
      <c r="R100" s="46">
        <f t="shared" si="57"/>
        <v>268.47757422615285</v>
      </c>
      <c r="S100" s="46">
        <f t="shared" si="57"/>
        <v>268.47757422615285</v>
      </c>
      <c r="T100" s="46">
        <f t="shared" si="57"/>
        <v>268.47757422615285</v>
      </c>
      <c r="U100" s="46">
        <f t="shared" si="57"/>
        <v>268.47757422615285</v>
      </c>
    </row>
    <row r="101" spans="2:21" x14ac:dyDescent="0.2">
      <c r="H101" s="21"/>
      <c r="I101" s="21"/>
      <c r="J101" s="21"/>
      <c r="K101" s="21"/>
      <c r="L101" s="21"/>
      <c r="M101" s="21"/>
      <c r="N101" s="21"/>
      <c r="O101" s="21"/>
      <c r="P101" s="21"/>
      <c r="Q101" s="249"/>
      <c r="R101" s="21"/>
      <c r="S101" s="21"/>
      <c r="T101" s="21"/>
      <c r="U101" s="21"/>
    </row>
    <row r="104" spans="2:21" x14ac:dyDescent="0.2">
      <c r="N104" s="74"/>
      <c r="O104" s="74"/>
      <c r="P104" s="74"/>
      <c r="Q104" s="250"/>
      <c r="R104" s="74"/>
      <c r="S104" s="74"/>
      <c r="T104" s="74"/>
      <c r="U104" s="74"/>
    </row>
    <row r="105" spans="2:21" x14ac:dyDescent="0.2">
      <c r="N105" s="74"/>
      <c r="O105" s="74"/>
      <c r="P105" s="74"/>
      <c r="Q105" s="250"/>
      <c r="R105" s="74"/>
      <c r="S105" s="74"/>
      <c r="T105" s="74"/>
      <c r="U105" s="74"/>
    </row>
    <row r="106" spans="2:21" x14ac:dyDescent="0.2">
      <c r="N106" s="74"/>
      <c r="O106" s="74"/>
      <c r="P106" s="74"/>
      <c r="Q106" s="250"/>
      <c r="R106" s="74"/>
      <c r="S106" s="74"/>
      <c r="T106" s="74"/>
      <c r="U106" s="74"/>
    </row>
    <row r="107" spans="2:21" x14ac:dyDescent="0.2">
      <c r="N107" s="74"/>
      <c r="O107" s="74"/>
      <c r="P107" s="74"/>
      <c r="Q107" s="250"/>
      <c r="R107" s="74"/>
      <c r="S107" s="74"/>
      <c r="T107" s="74"/>
      <c r="U107" s="74"/>
    </row>
    <row r="108" spans="2:21" x14ac:dyDescent="0.2">
      <c r="N108" s="74"/>
      <c r="O108" s="74"/>
      <c r="P108" s="74"/>
      <c r="Q108" s="250"/>
      <c r="R108" s="74"/>
      <c r="S108" s="74"/>
      <c r="T108" s="74"/>
      <c r="U108" s="74"/>
    </row>
    <row r="109" spans="2:21" x14ac:dyDescent="0.2">
      <c r="N109" s="74"/>
      <c r="O109" s="74"/>
      <c r="P109" s="74"/>
      <c r="Q109" s="250"/>
      <c r="R109" s="74"/>
      <c r="S109" s="74"/>
      <c r="T109" s="74"/>
      <c r="U109" s="74"/>
    </row>
    <row r="110" spans="2:21" x14ac:dyDescent="0.2">
      <c r="N110" s="74"/>
      <c r="O110" s="74"/>
      <c r="P110" s="74"/>
      <c r="Q110" s="250"/>
      <c r="R110" s="74"/>
      <c r="S110" s="74"/>
      <c r="T110" s="74"/>
      <c r="U110" s="74"/>
    </row>
    <row r="111" spans="2:21" x14ac:dyDescent="0.2">
      <c r="N111" s="74"/>
      <c r="O111" s="74"/>
      <c r="P111" s="74"/>
      <c r="Q111" s="250"/>
      <c r="R111" s="74"/>
      <c r="S111" s="74"/>
      <c r="T111" s="74"/>
      <c r="U111" s="74"/>
    </row>
    <row r="112" spans="2:21" x14ac:dyDescent="0.2">
      <c r="N112" s="74"/>
      <c r="O112" s="74"/>
      <c r="P112" s="74"/>
      <c r="Q112" s="250"/>
      <c r="R112" s="74"/>
      <c r="S112" s="74"/>
      <c r="T112" s="74"/>
      <c r="U112" s="74"/>
    </row>
    <row r="113" spans="14:21" x14ac:dyDescent="0.2">
      <c r="N113" s="74"/>
      <c r="O113" s="74"/>
      <c r="P113" s="74"/>
      <c r="Q113" s="250"/>
      <c r="R113" s="74"/>
      <c r="S113" s="74"/>
      <c r="T113" s="74"/>
      <c r="U113" s="74"/>
    </row>
  </sheetData>
  <mergeCells count="19">
    <mergeCell ref="W57:X57"/>
    <mergeCell ref="W58:X58"/>
    <mergeCell ref="B5:C5"/>
    <mergeCell ref="B88:U88"/>
    <mergeCell ref="A27:A29"/>
    <mergeCell ref="A31:A40"/>
    <mergeCell ref="A74:A75"/>
    <mergeCell ref="A76:A77"/>
    <mergeCell ref="A57:A65"/>
    <mergeCell ref="A41:A55"/>
    <mergeCell ref="A19:A23"/>
    <mergeCell ref="A24:A26"/>
    <mergeCell ref="B100:C100"/>
    <mergeCell ref="B6:C6"/>
    <mergeCell ref="B69:C69"/>
    <mergeCell ref="B71:C71"/>
    <mergeCell ref="B80:C81"/>
    <mergeCell ref="B17:C17"/>
    <mergeCell ref="B67:C67"/>
  </mergeCells>
  <pageMargins left="0.25" right="0.25" top="0.1" bottom="0.25" header="0.3" footer="0.1"/>
  <pageSetup paperSize="5" scale="52" orientation="portrait" horizontalDpi="1200" verticalDpi="1200" r:id="rId1"/>
  <headerFooter>
    <oddFooter>&amp;L&amp;"Times New Roman,Bold Italic"Prepared By: Locey and Cahill, LLC&amp;R&amp;"Times New Roman,Bold Italic"&amp;D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BCA2CA-9B19-43BB-9400-FBCED5311460}">
  <dimension ref="A1:U81"/>
  <sheetViews>
    <sheetView topLeftCell="A52" workbookViewId="0">
      <selection activeCell="G25" sqref="G25"/>
    </sheetView>
  </sheetViews>
  <sheetFormatPr defaultRowHeight="12.75" x14ac:dyDescent="0.2"/>
  <cols>
    <col min="1" max="1" width="4.7109375" style="2" customWidth="1"/>
    <col min="2" max="2" width="6.7109375" style="2" customWidth="1"/>
    <col min="3" max="3" width="34.7109375" style="2" customWidth="1"/>
    <col min="4" max="6" width="16.7109375" style="2" customWidth="1"/>
    <col min="7" max="7" width="15.28515625" style="1" customWidth="1"/>
    <col min="8" max="13" width="16.7109375" style="2" customWidth="1"/>
    <col min="14" max="22" width="14.7109375" style="2" customWidth="1"/>
    <col min="23" max="253" width="9.140625" style="2"/>
    <col min="254" max="254" width="4.7109375" style="2" customWidth="1"/>
    <col min="255" max="255" width="26.7109375" style="2" customWidth="1"/>
    <col min="256" max="263" width="16.7109375" style="2" customWidth="1"/>
    <col min="264" max="509" width="9.140625" style="2"/>
    <col min="510" max="510" width="4.7109375" style="2" customWidth="1"/>
    <col min="511" max="511" width="26.7109375" style="2" customWidth="1"/>
    <col min="512" max="519" width="16.7109375" style="2" customWidth="1"/>
    <col min="520" max="765" width="9.140625" style="2"/>
    <col min="766" max="766" width="4.7109375" style="2" customWidth="1"/>
    <col min="767" max="767" width="26.7109375" style="2" customWidth="1"/>
    <col min="768" max="775" width="16.7109375" style="2" customWidth="1"/>
    <col min="776" max="1021" width="9.140625" style="2"/>
    <col min="1022" max="1022" width="4.7109375" style="2" customWidth="1"/>
    <col min="1023" max="1023" width="26.7109375" style="2" customWidth="1"/>
    <col min="1024" max="1031" width="16.7109375" style="2" customWidth="1"/>
    <col min="1032" max="1277" width="9.140625" style="2"/>
    <col min="1278" max="1278" width="4.7109375" style="2" customWidth="1"/>
    <col min="1279" max="1279" width="26.7109375" style="2" customWidth="1"/>
    <col min="1280" max="1287" width="16.7109375" style="2" customWidth="1"/>
    <col min="1288" max="1533" width="9.140625" style="2"/>
    <col min="1534" max="1534" width="4.7109375" style="2" customWidth="1"/>
    <col min="1535" max="1535" width="26.7109375" style="2" customWidth="1"/>
    <col min="1536" max="1543" width="16.7109375" style="2" customWidth="1"/>
    <col min="1544" max="1789" width="9.140625" style="2"/>
    <col min="1790" max="1790" width="4.7109375" style="2" customWidth="1"/>
    <col min="1791" max="1791" width="26.7109375" style="2" customWidth="1"/>
    <col min="1792" max="1799" width="16.7109375" style="2" customWidth="1"/>
    <col min="1800" max="2045" width="9.140625" style="2"/>
    <col min="2046" max="2046" width="4.7109375" style="2" customWidth="1"/>
    <col min="2047" max="2047" width="26.7109375" style="2" customWidth="1"/>
    <col min="2048" max="2055" width="16.7109375" style="2" customWidth="1"/>
    <col min="2056" max="2301" width="9.140625" style="2"/>
    <col min="2302" max="2302" width="4.7109375" style="2" customWidth="1"/>
    <col min="2303" max="2303" width="26.7109375" style="2" customWidth="1"/>
    <col min="2304" max="2311" width="16.7109375" style="2" customWidth="1"/>
    <col min="2312" max="2557" width="9.140625" style="2"/>
    <col min="2558" max="2558" width="4.7109375" style="2" customWidth="1"/>
    <col min="2559" max="2559" width="26.7109375" style="2" customWidth="1"/>
    <col min="2560" max="2567" width="16.7109375" style="2" customWidth="1"/>
    <col min="2568" max="2813" width="9.140625" style="2"/>
    <col min="2814" max="2814" width="4.7109375" style="2" customWidth="1"/>
    <col min="2815" max="2815" width="26.7109375" style="2" customWidth="1"/>
    <col min="2816" max="2823" width="16.7109375" style="2" customWidth="1"/>
    <col min="2824" max="3069" width="9.140625" style="2"/>
    <col min="3070" max="3070" width="4.7109375" style="2" customWidth="1"/>
    <col min="3071" max="3071" width="26.7109375" style="2" customWidth="1"/>
    <col min="3072" max="3079" width="16.7109375" style="2" customWidth="1"/>
    <col min="3080" max="3325" width="9.140625" style="2"/>
    <col min="3326" max="3326" width="4.7109375" style="2" customWidth="1"/>
    <col min="3327" max="3327" width="26.7109375" style="2" customWidth="1"/>
    <col min="3328" max="3335" width="16.7109375" style="2" customWidth="1"/>
    <col min="3336" max="3581" width="9.140625" style="2"/>
    <col min="3582" max="3582" width="4.7109375" style="2" customWidth="1"/>
    <col min="3583" max="3583" width="26.7109375" style="2" customWidth="1"/>
    <col min="3584" max="3591" width="16.7109375" style="2" customWidth="1"/>
    <col min="3592" max="3837" width="9.140625" style="2"/>
    <col min="3838" max="3838" width="4.7109375" style="2" customWidth="1"/>
    <col min="3839" max="3839" width="26.7109375" style="2" customWidth="1"/>
    <col min="3840" max="3847" width="16.7109375" style="2" customWidth="1"/>
    <col min="3848" max="4093" width="9.140625" style="2"/>
    <col min="4094" max="4094" width="4.7109375" style="2" customWidth="1"/>
    <col min="4095" max="4095" width="26.7109375" style="2" customWidth="1"/>
    <col min="4096" max="4103" width="16.7109375" style="2" customWidth="1"/>
    <col min="4104" max="4349" width="9.140625" style="2"/>
    <col min="4350" max="4350" width="4.7109375" style="2" customWidth="1"/>
    <col min="4351" max="4351" width="26.7109375" style="2" customWidth="1"/>
    <col min="4352" max="4359" width="16.7109375" style="2" customWidth="1"/>
    <col min="4360" max="4605" width="9.140625" style="2"/>
    <col min="4606" max="4606" width="4.7109375" style="2" customWidth="1"/>
    <col min="4607" max="4607" width="26.7109375" style="2" customWidth="1"/>
    <col min="4608" max="4615" width="16.7109375" style="2" customWidth="1"/>
    <col min="4616" max="4861" width="9.140625" style="2"/>
    <col min="4862" max="4862" width="4.7109375" style="2" customWidth="1"/>
    <col min="4863" max="4863" width="26.7109375" style="2" customWidth="1"/>
    <col min="4864" max="4871" width="16.7109375" style="2" customWidth="1"/>
    <col min="4872" max="5117" width="9.140625" style="2"/>
    <col min="5118" max="5118" width="4.7109375" style="2" customWidth="1"/>
    <col min="5119" max="5119" width="26.7109375" style="2" customWidth="1"/>
    <col min="5120" max="5127" width="16.7109375" style="2" customWidth="1"/>
    <col min="5128" max="5373" width="9.140625" style="2"/>
    <col min="5374" max="5374" width="4.7109375" style="2" customWidth="1"/>
    <col min="5375" max="5375" width="26.7109375" style="2" customWidth="1"/>
    <col min="5376" max="5383" width="16.7109375" style="2" customWidth="1"/>
    <col min="5384" max="5629" width="9.140625" style="2"/>
    <col min="5630" max="5630" width="4.7109375" style="2" customWidth="1"/>
    <col min="5631" max="5631" width="26.7109375" style="2" customWidth="1"/>
    <col min="5632" max="5639" width="16.7109375" style="2" customWidth="1"/>
    <col min="5640" max="5885" width="9.140625" style="2"/>
    <col min="5886" max="5886" width="4.7109375" style="2" customWidth="1"/>
    <col min="5887" max="5887" width="26.7109375" style="2" customWidth="1"/>
    <col min="5888" max="5895" width="16.7109375" style="2" customWidth="1"/>
    <col min="5896" max="6141" width="9.140625" style="2"/>
    <col min="6142" max="6142" width="4.7109375" style="2" customWidth="1"/>
    <col min="6143" max="6143" width="26.7109375" style="2" customWidth="1"/>
    <col min="6144" max="6151" width="16.7109375" style="2" customWidth="1"/>
    <col min="6152" max="6397" width="9.140625" style="2"/>
    <col min="6398" max="6398" width="4.7109375" style="2" customWidth="1"/>
    <col min="6399" max="6399" width="26.7109375" style="2" customWidth="1"/>
    <col min="6400" max="6407" width="16.7109375" style="2" customWidth="1"/>
    <col min="6408" max="6653" width="9.140625" style="2"/>
    <col min="6654" max="6654" width="4.7109375" style="2" customWidth="1"/>
    <col min="6655" max="6655" width="26.7109375" style="2" customWidth="1"/>
    <col min="6656" max="6663" width="16.7109375" style="2" customWidth="1"/>
    <col min="6664" max="6909" width="9.140625" style="2"/>
    <col min="6910" max="6910" width="4.7109375" style="2" customWidth="1"/>
    <col min="6911" max="6911" width="26.7109375" style="2" customWidth="1"/>
    <col min="6912" max="6919" width="16.7109375" style="2" customWidth="1"/>
    <col min="6920" max="7165" width="9.140625" style="2"/>
    <col min="7166" max="7166" width="4.7109375" style="2" customWidth="1"/>
    <col min="7167" max="7167" width="26.7109375" style="2" customWidth="1"/>
    <col min="7168" max="7175" width="16.7109375" style="2" customWidth="1"/>
    <col min="7176" max="7421" width="9.140625" style="2"/>
    <col min="7422" max="7422" width="4.7109375" style="2" customWidth="1"/>
    <col min="7423" max="7423" width="26.7109375" style="2" customWidth="1"/>
    <col min="7424" max="7431" width="16.7109375" style="2" customWidth="1"/>
    <col min="7432" max="7677" width="9.140625" style="2"/>
    <col min="7678" max="7678" width="4.7109375" style="2" customWidth="1"/>
    <col min="7679" max="7679" width="26.7109375" style="2" customWidth="1"/>
    <col min="7680" max="7687" width="16.7109375" style="2" customWidth="1"/>
    <col min="7688" max="7933" width="9.140625" style="2"/>
    <col min="7934" max="7934" width="4.7109375" style="2" customWidth="1"/>
    <col min="7935" max="7935" width="26.7109375" style="2" customWidth="1"/>
    <col min="7936" max="7943" width="16.7109375" style="2" customWidth="1"/>
    <col min="7944" max="8189" width="9.140625" style="2"/>
    <col min="8190" max="8190" width="4.7109375" style="2" customWidth="1"/>
    <col min="8191" max="8191" width="26.7109375" style="2" customWidth="1"/>
    <col min="8192" max="8199" width="16.7109375" style="2" customWidth="1"/>
    <col min="8200" max="8445" width="9.140625" style="2"/>
    <col min="8446" max="8446" width="4.7109375" style="2" customWidth="1"/>
    <col min="8447" max="8447" width="26.7109375" style="2" customWidth="1"/>
    <col min="8448" max="8455" width="16.7109375" style="2" customWidth="1"/>
    <col min="8456" max="8701" width="9.140625" style="2"/>
    <col min="8702" max="8702" width="4.7109375" style="2" customWidth="1"/>
    <col min="8703" max="8703" width="26.7109375" style="2" customWidth="1"/>
    <col min="8704" max="8711" width="16.7109375" style="2" customWidth="1"/>
    <col min="8712" max="8957" width="9.140625" style="2"/>
    <col min="8958" max="8958" width="4.7109375" style="2" customWidth="1"/>
    <col min="8959" max="8959" width="26.7109375" style="2" customWidth="1"/>
    <col min="8960" max="8967" width="16.7109375" style="2" customWidth="1"/>
    <col min="8968" max="9213" width="9.140625" style="2"/>
    <col min="9214" max="9214" width="4.7109375" style="2" customWidth="1"/>
    <col min="9215" max="9215" width="26.7109375" style="2" customWidth="1"/>
    <col min="9216" max="9223" width="16.7109375" style="2" customWidth="1"/>
    <col min="9224" max="9469" width="9.140625" style="2"/>
    <col min="9470" max="9470" width="4.7109375" style="2" customWidth="1"/>
    <col min="9471" max="9471" width="26.7109375" style="2" customWidth="1"/>
    <col min="9472" max="9479" width="16.7109375" style="2" customWidth="1"/>
    <col min="9480" max="9725" width="9.140625" style="2"/>
    <col min="9726" max="9726" width="4.7109375" style="2" customWidth="1"/>
    <col min="9727" max="9727" width="26.7109375" style="2" customWidth="1"/>
    <col min="9728" max="9735" width="16.7109375" style="2" customWidth="1"/>
    <col min="9736" max="9981" width="9.140625" style="2"/>
    <col min="9982" max="9982" width="4.7109375" style="2" customWidth="1"/>
    <col min="9983" max="9983" width="26.7109375" style="2" customWidth="1"/>
    <col min="9984" max="9991" width="16.7109375" style="2" customWidth="1"/>
    <col min="9992" max="10237" width="9.140625" style="2"/>
    <col min="10238" max="10238" width="4.7109375" style="2" customWidth="1"/>
    <col min="10239" max="10239" width="26.7109375" style="2" customWidth="1"/>
    <col min="10240" max="10247" width="16.7109375" style="2" customWidth="1"/>
    <col min="10248" max="10493" width="9.140625" style="2"/>
    <col min="10494" max="10494" width="4.7109375" style="2" customWidth="1"/>
    <col min="10495" max="10495" width="26.7109375" style="2" customWidth="1"/>
    <col min="10496" max="10503" width="16.7109375" style="2" customWidth="1"/>
    <col min="10504" max="10749" width="9.140625" style="2"/>
    <col min="10750" max="10750" width="4.7109375" style="2" customWidth="1"/>
    <col min="10751" max="10751" width="26.7109375" style="2" customWidth="1"/>
    <col min="10752" max="10759" width="16.7109375" style="2" customWidth="1"/>
    <col min="10760" max="11005" width="9.140625" style="2"/>
    <col min="11006" max="11006" width="4.7109375" style="2" customWidth="1"/>
    <col min="11007" max="11007" width="26.7109375" style="2" customWidth="1"/>
    <col min="11008" max="11015" width="16.7109375" style="2" customWidth="1"/>
    <col min="11016" max="11261" width="9.140625" style="2"/>
    <col min="11262" max="11262" width="4.7109375" style="2" customWidth="1"/>
    <col min="11263" max="11263" width="26.7109375" style="2" customWidth="1"/>
    <col min="11264" max="11271" width="16.7109375" style="2" customWidth="1"/>
    <col min="11272" max="11517" width="9.140625" style="2"/>
    <col min="11518" max="11518" width="4.7109375" style="2" customWidth="1"/>
    <col min="11519" max="11519" width="26.7109375" style="2" customWidth="1"/>
    <col min="11520" max="11527" width="16.7109375" style="2" customWidth="1"/>
    <col min="11528" max="11773" width="9.140625" style="2"/>
    <col min="11774" max="11774" width="4.7109375" style="2" customWidth="1"/>
    <col min="11775" max="11775" width="26.7109375" style="2" customWidth="1"/>
    <col min="11776" max="11783" width="16.7109375" style="2" customWidth="1"/>
    <col min="11784" max="12029" width="9.140625" style="2"/>
    <col min="12030" max="12030" width="4.7109375" style="2" customWidth="1"/>
    <col min="12031" max="12031" width="26.7109375" style="2" customWidth="1"/>
    <col min="12032" max="12039" width="16.7109375" style="2" customWidth="1"/>
    <col min="12040" max="12285" width="9.140625" style="2"/>
    <col min="12286" max="12286" width="4.7109375" style="2" customWidth="1"/>
    <col min="12287" max="12287" width="26.7109375" style="2" customWidth="1"/>
    <col min="12288" max="12295" width="16.7109375" style="2" customWidth="1"/>
    <col min="12296" max="12541" width="9.140625" style="2"/>
    <col min="12542" max="12542" width="4.7109375" style="2" customWidth="1"/>
    <col min="12543" max="12543" width="26.7109375" style="2" customWidth="1"/>
    <col min="12544" max="12551" width="16.7109375" style="2" customWidth="1"/>
    <col min="12552" max="12797" width="9.140625" style="2"/>
    <col min="12798" max="12798" width="4.7109375" style="2" customWidth="1"/>
    <col min="12799" max="12799" width="26.7109375" style="2" customWidth="1"/>
    <col min="12800" max="12807" width="16.7109375" style="2" customWidth="1"/>
    <col min="12808" max="13053" width="9.140625" style="2"/>
    <col min="13054" max="13054" width="4.7109375" style="2" customWidth="1"/>
    <col min="13055" max="13055" width="26.7109375" style="2" customWidth="1"/>
    <col min="13056" max="13063" width="16.7109375" style="2" customWidth="1"/>
    <col min="13064" max="13309" width="9.140625" style="2"/>
    <col min="13310" max="13310" width="4.7109375" style="2" customWidth="1"/>
    <col min="13311" max="13311" width="26.7109375" style="2" customWidth="1"/>
    <col min="13312" max="13319" width="16.7109375" style="2" customWidth="1"/>
    <col min="13320" max="13565" width="9.140625" style="2"/>
    <col min="13566" max="13566" width="4.7109375" style="2" customWidth="1"/>
    <col min="13567" max="13567" width="26.7109375" style="2" customWidth="1"/>
    <col min="13568" max="13575" width="16.7109375" style="2" customWidth="1"/>
    <col min="13576" max="13821" width="9.140625" style="2"/>
    <col min="13822" max="13822" width="4.7109375" style="2" customWidth="1"/>
    <col min="13823" max="13823" width="26.7109375" style="2" customWidth="1"/>
    <col min="13824" max="13831" width="16.7109375" style="2" customWidth="1"/>
    <col min="13832" max="14077" width="9.140625" style="2"/>
    <col min="14078" max="14078" width="4.7109375" style="2" customWidth="1"/>
    <col min="14079" max="14079" width="26.7109375" style="2" customWidth="1"/>
    <col min="14080" max="14087" width="16.7109375" style="2" customWidth="1"/>
    <col min="14088" max="14333" width="9.140625" style="2"/>
    <col min="14334" max="14334" width="4.7109375" style="2" customWidth="1"/>
    <col min="14335" max="14335" width="26.7109375" style="2" customWidth="1"/>
    <col min="14336" max="14343" width="16.7109375" style="2" customWidth="1"/>
    <col min="14344" max="14589" width="9.140625" style="2"/>
    <col min="14590" max="14590" width="4.7109375" style="2" customWidth="1"/>
    <col min="14591" max="14591" width="26.7109375" style="2" customWidth="1"/>
    <col min="14592" max="14599" width="16.7109375" style="2" customWidth="1"/>
    <col min="14600" max="14845" width="9.140625" style="2"/>
    <col min="14846" max="14846" width="4.7109375" style="2" customWidth="1"/>
    <col min="14847" max="14847" width="26.7109375" style="2" customWidth="1"/>
    <col min="14848" max="14855" width="16.7109375" style="2" customWidth="1"/>
    <col min="14856" max="15101" width="9.140625" style="2"/>
    <col min="15102" max="15102" width="4.7109375" style="2" customWidth="1"/>
    <col min="15103" max="15103" width="26.7109375" style="2" customWidth="1"/>
    <col min="15104" max="15111" width="16.7109375" style="2" customWidth="1"/>
    <col min="15112" max="15357" width="9.140625" style="2"/>
    <col min="15358" max="15358" width="4.7109375" style="2" customWidth="1"/>
    <col min="15359" max="15359" width="26.7109375" style="2" customWidth="1"/>
    <col min="15360" max="15367" width="16.7109375" style="2" customWidth="1"/>
    <col min="15368" max="15613" width="9.140625" style="2"/>
    <col min="15614" max="15614" width="4.7109375" style="2" customWidth="1"/>
    <col min="15615" max="15615" width="26.7109375" style="2" customWidth="1"/>
    <col min="15616" max="15623" width="16.7109375" style="2" customWidth="1"/>
    <col min="15624" max="15869" width="9.140625" style="2"/>
    <col min="15870" max="15870" width="4.7109375" style="2" customWidth="1"/>
    <col min="15871" max="15871" width="26.7109375" style="2" customWidth="1"/>
    <col min="15872" max="15879" width="16.7109375" style="2" customWidth="1"/>
    <col min="15880" max="16125" width="9.140625" style="2"/>
    <col min="16126" max="16126" width="4.7109375" style="2" customWidth="1"/>
    <col min="16127" max="16127" width="26.7109375" style="2" customWidth="1"/>
    <col min="16128" max="16135" width="16.7109375" style="2" customWidth="1"/>
    <col min="16136" max="16384" width="9.140625" style="2"/>
  </cols>
  <sheetData>
    <row r="1" spans="2:12" ht="15.95" customHeight="1" x14ac:dyDescent="0.2">
      <c r="B1" s="5" t="s">
        <v>0</v>
      </c>
      <c r="D1" s="6"/>
      <c r="E1" s="91"/>
      <c r="F1" s="91"/>
      <c r="G1" s="209"/>
      <c r="H1" s="22"/>
      <c r="I1" s="274"/>
      <c r="J1" s="367"/>
      <c r="K1" s="367"/>
      <c r="L1" s="110"/>
    </row>
    <row r="2" spans="2:12" ht="15.95" customHeight="1" x14ac:dyDescent="0.2">
      <c r="B2" s="8" t="s">
        <v>300</v>
      </c>
      <c r="E2" s="6"/>
      <c r="F2" s="6"/>
      <c r="I2" s="14"/>
      <c r="J2" s="367"/>
      <c r="K2" s="367"/>
      <c r="L2" s="110"/>
    </row>
    <row r="3" spans="2:12" ht="15.95" customHeight="1" x14ac:dyDescent="0.2">
      <c r="B3" s="8"/>
      <c r="E3" s="6"/>
      <c r="F3" s="6"/>
      <c r="I3" s="14"/>
      <c r="J3" s="367"/>
      <c r="K3" s="367"/>
      <c r="L3" s="110"/>
    </row>
    <row r="4" spans="2:12" ht="15.95" customHeight="1" x14ac:dyDescent="0.2">
      <c r="B4" s="8"/>
      <c r="E4" s="6"/>
      <c r="F4" s="6"/>
      <c r="I4" s="14"/>
      <c r="J4" s="367"/>
      <c r="K4" s="367"/>
      <c r="L4" s="110"/>
    </row>
    <row r="5" spans="2:12" ht="15.95" customHeight="1" x14ac:dyDescent="0.2">
      <c r="B5" s="8"/>
      <c r="D5" s="234"/>
      <c r="E5" s="234"/>
      <c r="F5" s="234"/>
      <c r="G5" s="234"/>
      <c r="H5" s="234"/>
      <c r="I5" s="234"/>
      <c r="J5" s="234"/>
      <c r="K5" s="234"/>
      <c r="L5" s="116"/>
    </row>
    <row r="6" spans="2:12" ht="15.95" customHeight="1" x14ac:dyDescent="0.2">
      <c r="B6" s="8"/>
      <c r="D6" s="235"/>
      <c r="E6" s="76"/>
      <c r="F6" s="236"/>
      <c r="G6" s="241"/>
      <c r="H6" s="76"/>
      <c r="I6" s="76"/>
      <c r="J6" s="76"/>
      <c r="K6" s="76"/>
    </row>
    <row r="7" spans="2:12" ht="32.1" customHeight="1" x14ac:dyDescent="0.2">
      <c r="B7" s="8"/>
      <c r="D7" s="55" t="s">
        <v>242</v>
      </c>
      <c r="E7" s="55" t="s">
        <v>261</v>
      </c>
      <c r="F7" s="55" t="s">
        <v>262</v>
      </c>
      <c r="G7" s="251" t="s">
        <v>49</v>
      </c>
      <c r="H7" s="55" t="s">
        <v>55</v>
      </c>
      <c r="I7" s="55" t="s">
        <v>72</v>
      </c>
      <c r="J7" s="55" t="s">
        <v>136</v>
      </c>
      <c r="K7" s="55" t="s">
        <v>260</v>
      </c>
    </row>
    <row r="8" spans="2:12" ht="15.95" customHeight="1" x14ac:dyDescent="0.2">
      <c r="B8" s="340" t="s">
        <v>51</v>
      </c>
      <c r="C8" s="348"/>
      <c r="D8" s="111">
        <v>6275</v>
      </c>
      <c r="E8" s="111">
        <v>6341</v>
      </c>
      <c r="F8" s="111">
        <v>6342</v>
      </c>
      <c r="G8" s="252">
        <v>6332</v>
      </c>
      <c r="H8" s="111">
        <v>6332</v>
      </c>
      <c r="I8" s="111">
        <v>6332</v>
      </c>
      <c r="J8" s="111">
        <v>6332</v>
      </c>
      <c r="K8" s="111">
        <v>6332</v>
      </c>
    </row>
    <row r="9" spans="2:12" ht="15.95" customHeight="1" x14ac:dyDescent="0.2">
      <c r="B9" s="341" t="s">
        <v>8</v>
      </c>
      <c r="C9" s="368"/>
      <c r="D9" s="10">
        <f>'2022 Budget'!M6</f>
        <v>32536185.010000028</v>
      </c>
      <c r="E9" s="10">
        <f>'2022 Budget'!N6</f>
        <v>33399992.820000023</v>
      </c>
      <c r="F9" s="10">
        <f>'2022 Budget'!P6</f>
        <v>33399992.820000023</v>
      </c>
      <c r="G9" s="253">
        <f>'2022 Budget'!Q6</f>
        <v>32446931.378269263</v>
      </c>
      <c r="H9" s="10">
        <f t="shared" ref="H9" si="0">+G32</f>
        <v>31434929.644360617</v>
      </c>
      <c r="I9" s="10">
        <f t="shared" ref="I9" si="1">+H32</f>
        <v>30601645.088769838</v>
      </c>
      <c r="J9" s="10">
        <f t="shared" ref="J9" si="2">+I32</f>
        <v>30380432.18408113</v>
      </c>
      <c r="K9" s="10">
        <f t="shared" ref="K9" si="3">+J32</f>
        <v>30861057.155780174</v>
      </c>
    </row>
    <row r="10" spans="2:12" ht="15.95" customHeight="1" x14ac:dyDescent="0.2">
      <c r="D10" s="49"/>
      <c r="E10" s="49"/>
      <c r="F10" s="49"/>
      <c r="G10" s="254"/>
      <c r="H10" s="49"/>
      <c r="I10" s="49"/>
      <c r="J10" s="49"/>
      <c r="K10" s="49"/>
    </row>
    <row r="11" spans="2:12" ht="15.95" customHeight="1" x14ac:dyDescent="0.2">
      <c r="B11" s="341" t="s">
        <v>1</v>
      </c>
      <c r="C11" s="368"/>
      <c r="D11" s="97"/>
      <c r="E11" s="97"/>
      <c r="F11" s="97"/>
      <c r="G11" s="254"/>
      <c r="H11" s="97"/>
      <c r="I11" s="97"/>
      <c r="J11" s="97"/>
      <c r="K11" s="97"/>
    </row>
    <row r="12" spans="2:12" ht="15.95" customHeight="1" x14ac:dyDescent="0.2">
      <c r="B12" s="64"/>
      <c r="C12" s="49" t="s">
        <v>118</v>
      </c>
      <c r="D12" s="4">
        <f>'2022 Budget'!M9</f>
        <v>48189940.350000001</v>
      </c>
      <c r="E12" s="4">
        <f>'2022 Budget'!N9</f>
        <v>53878691.640000001</v>
      </c>
      <c r="F12" s="4">
        <f>'2022 Budget'!P9</f>
        <v>55002327.359999999</v>
      </c>
      <c r="G12" s="255">
        <f>'2022 Budget'!Q9</f>
        <v>56572626.222000003</v>
      </c>
      <c r="H12" s="237">
        <f>'2022 Budget'!R9</f>
        <v>59966983.795320004</v>
      </c>
      <c r="I12" s="237">
        <f>'2022 Budget'!S9</f>
        <v>64164672.660992406</v>
      </c>
      <c r="J12" s="237">
        <f>'2022 Budget'!T9</f>
        <v>68656199.747261882</v>
      </c>
      <c r="K12" s="237">
        <f>'2022 Budget'!U9</f>
        <v>73462133.729570225</v>
      </c>
    </row>
    <row r="13" spans="2:12" ht="15.95" customHeight="1" x14ac:dyDescent="0.2">
      <c r="B13" s="112">
        <v>9020</v>
      </c>
      <c r="C13" s="49" t="s">
        <v>2</v>
      </c>
      <c r="D13" s="4">
        <f>'2022 Budget'!M11</f>
        <v>323004.24</v>
      </c>
      <c r="E13" s="4">
        <f>'2022 Budget'!N11</f>
        <v>45579.58</v>
      </c>
      <c r="F13" s="4">
        <f>'2022 Budget'!P11</f>
        <v>0</v>
      </c>
      <c r="G13" s="255">
        <f>'2022 Budget'!Q11</f>
        <v>162234.65689134633</v>
      </c>
      <c r="H13" s="4">
        <f>'2022 Budget'!R11</f>
        <v>314349.29644360632</v>
      </c>
      <c r="I13" s="4">
        <f>'2022 Budget'!S11</f>
        <v>306016.45088769856</v>
      </c>
      <c r="J13" s="4">
        <f>'2022 Budget'!T11</f>
        <v>303804.32184081146</v>
      </c>
      <c r="K13" s="4">
        <f>'2022 Budget'!U11</f>
        <v>308610.5715578025</v>
      </c>
    </row>
    <row r="14" spans="2:12" ht="15.95" customHeight="1" x14ac:dyDescent="0.2">
      <c r="B14" s="32">
        <v>9010</v>
      </c>
      <c r="C14" s="49" t="s">
        <v>24</v>
      </c>
      <c r="D14" s="4">
        <f>'2022 Budget'!M12</f>
        <v>1975716.32</v>
      </c>
      <c r="E14" s="4">
        <f>'2022 Budget'!N12</f>
        <v>1236306.07</v>
      </c>
      <c r="F14" s="4">
        <f>'2022 Budget'!P12</f>
        <v>1700000</v>
      </c>
      <c r="G14" s="255">
        <f>'2022 Budget'!Q12</f>
        <v>1700000</v>
      </c>
      <c r="H14" s="4">
        <f>'2022 Budget'!R12</f>
        <v>1700000</v>
      </c>
      <c r="I14" s="4">
        <f>'2022 Budget'!S12</f>
        <v>1700000</v>
      </c>
      <c r="J14" s="4">
        <f>'2022 Budget'!T12</f>
        <v>1700000</v>
      </c>
      <c r="K14" s="4">
        <f>'2022 Budget'!U12</f>
        <v>1700000</v>
      </c>
    </row>
    <row r="15" spans="2:12" ht="15.95" customHeight="1" x14ac:dyDescent="0.2">
      <c r="B15" s="32">
        <v>9040</v>
      </c>
      <c r="C15" s="49" t="s">
        <v>25</v>
      </c>
      <c r="D15" s="4">
        <f>'2022 Budget'!M13</f>
        <v>29295.279999999999</v>
      </c>
      <c r="E15" s="4">
        <f>'2022 Budget'!N13</f>
        <v>0</v>
      </c>
      <c r="F15" s="4">
        <f>'2022 Budget'!P13</f>
        <v>0</v>
      </c>
      <c r="G15" s="255">
        <f>'2022 Budget'!Q13</f>
        <v>0</v>
      </c>
      <c r="H15" s="4">
        <f>'2022 Budget'!R13</f>
        <v>0</v>
      </c>
      <c r="I15" s="4">
        <f>'2022 Budget'!S13</f>
        <v>0</v>
      </c>
      <c r="J15" s="4">
        <f>'2022 Budget'!T13</f>
        <v>0</v>
      </c>
      <c r="K15" s="4">
        <f>'2022 Budget'!U13</f>
        <v>0</v>
      </c>
    </row>
    <row r="16" spans="2:12" ht="15.95" customHeight="1" x14ac:dyDescent="0.2">
      <c r="B16" s="32">
        <v>9035</v>
      </c>
      <c r="C16" s="49" t="s">
        <v>119</v>
      </c>
      <c r="D16" s="4">
        <f>'2022 Budget'!M14</f>
        <v>30072.66</v>
      </c>
      <c r="E16" s="4">
        <f>'2022 Budget'!N14</f>
        <v>0</v>
      </c>
      <c r="F16" s="4">
        <f>'2022 Budget'!P14</f>
        <v>0</v>
      </c>
      <c r="G16" s="255">
        <f>'2022 Budget'!Q14</f>
        <v>0</v>
      </c>
      <c r="H16" s="4">
        <f>'2022 Budget'!R14</f>
        <v>0</v>
      </c>
      <c r="I16" s="4">
        <f>'2022 Budget'!S14</f>
        <v>0</v>
      </c>
      <c r="J16" s="4">
        <f>'2022 Budget'!T14</f>
        <v>0</v>
      </c>
      <c r="K16" s="4">
        <f>'2022 Budget'!U14</f>
        <v>0</v>
      </c>
    </row>
    <row r="17" spans="1:21" ht="15.95" customHeight="1" x14ac:dyDescent="0.2">
      <c r="B17" s="99">
        <v>9030</v>
      </c>
      <c r="C17" s="49" t="s">
        <v>3</v>
      </c>
      <c r="D17" s="4">
        <f>'2022 Budget'!M15</f>
        <v>0</v>
      </c>
      <c r="E17" s="4">
        <f>'2022 Budget'!N15</f>
        <v>0</v>
      </c>
      <c r="F17" s="4">
        <f>'2022 Budget'!P15</f>
        <v>5463.48</v>
      </c>
      <c r="G17" s="255">
        <f>'2022 Budget'!Q15</f>
        <v>0</v>
      </c>
      <c r="H17" s="4">
        <f>'2022 Budget'!R15</f>
        <v>0</v>
      </c>
      <c r="I17" s="4">
        <f>'2022 Budget'!S15</f>
        <v>0</v>
      </c>
      <c r="J17" s="4">
        <f>'2022 Budget'!T15</f>
        <v>0</v>
      </c>
      <c r="K17" s="4">
        <f>'2022 Budget'!U15</f>
        <v>0</v>
      </c>
    </row>
    <row r="18" spans="1:21" ht="15.95" customHeight="1" x14ac:dyDescent="0.2">
      <c r="B18" s="347" t="s">
        <v>11</v>
      </c>
      <c r="C18" s="347"/>
      <c r="D18" s="113">
        <f t="shared" ref="D18:K18" si="4">SUM(D12:D17)</f>
        <v>50548028.850000001</v>
      </c>
      <c r="E18" s="113">
        <f t="shared" si="4"/>
        <v>55160577.289999999</v>
      </c>
      <c r="F18" s="113">
        <f t="shared" si="4"/>
        <v>56707790.839999996</v>
      </c>
      <c r="G18" s="253">
        <f t="shared" si="4"/>
        <v>58434860.878891349</v>
      </c>
      <c r="H18" s="113">
        <f t="shared" si="4"/>
        <v>61981333.091763608</v>
      </c>
      <c r="I18" s="113">
        <f t="shared" si="4"/>
        <v>66170689.111880101</v>
      </c>
      <c r="J18" s="113">
        <f t="shared" si="4"/>
        <v>70660004.06910269</v>
      </c>
      <c r="K18" s="113">
        <f t="shared" si="4"/>
        <v>75470744.30112803</v>
      </c>
      <c r="M18" s="6"/>
      <c r="N18" s="6"/>
      <c r="O18" s="6"/>
      <c r="P18" s="6"/>
      <c r="Q18" s="6"/>
      <c r="R18" s="6"/>
      <c r="S18" s="6"/>
      <c r="T18" s="6"/>
      <c r="U18" s="6"/>
    </row>
    <row r="19" spans="1:21" ht="15.95" customHeight="1" x14ac:dyDescent="0.2">
      <c r="B19" s="114"/>
      <c r="C19" s="114"/>
      <c r="D19" s="115"/>
      <c r="E19" s="115"/>
      <c r="F19" s="115"/>
      <c r="G19" s="256"/>
      <c r="H19" s="115"/>
      <c r="I19" s="115"/>
      <c r="J19" s="115"/>
      <c r="K19" s="115"/>
      <c r="M19" s="296"/>
      <c r="N19" s="296"/>
      <c r="O19" s="296"/>
      <c r="P19" s="296"/>
      <c r="Q19" s="296"/>
      <c r="R19" s="296"/>
      <c r="S19" s="296"/>
      <c r="T19" s="296"/>
    </row>
    <row r="20" spans="1:21" ht="32.1" customHeight="1" x14ac:dyDescent="0.2">
      <c r="B20" s="341" t="s">
        <v>4</v>
      </c>
      <c r="C20" s="368"/>
      <c r="D20" s="55" t="s">
        <v>294</v>
      </c>
      <c r="E20" s="55" t="s">
        <v>261</v>
      </c>
      <c r="F20" s="55" t="s">
        <v>295</v>
      </c>
      <c r="G20" s="251" t="s">
        <v>49</v>
      </c>
      <c r="H20" s="55" t="s">
        <v>55</v>
      </c>
      <c r="I20" s="55" t="s">
        <v>72</v>
      </c>
      <c r="J20" s="55" t="s">
        <v>136</v>
      </c>
      <c r="K20" s="55" t="s">
        <v>260</v>
      </c>
    </row>
    <row r="21" spans="1:21" ht="15.95" customHeight="1" x14ac:dyDescent="0.2">
      <c r="A21" s="96">
        <v>1</v>
      </c>
      <c r="B21" s="365" t="s">
        <v>81</v>
      </c>
      <c r="C21" s="365"/>
      <c r="D21" s="4">
        <f>SUM('2022 Budget'!M19:M23)</f>
        <v>46909048.009999998</v>
      </c>
      <c r="E21" s="4">
        <f>SUM('2022 Budget'!N19:N23)</f>
        <v>53141030.50173077</v>
      </c>
      <c r="F21" s="4">
        <f>SUM('2022 Budget'!P19:P23)</f>
        <v>54358663.68</v>
      </c>
      <c r="G21" s="255">
        <f>SUM('2022 Budget'!Q19:Q23)</f>
        <v>56152478.279999994</v>
      </c>
      <c r="H21" s="4">
        <f>SUM('2022 Budget'!R19:R23)</f>
        <v>59380023.734390385</v>
      </c>
      <c r="I21" s="4">
        <f>SUM('2022 Budget'!S19:S23)</f>
        <v>62800458.610771894</v>
      </c>
      <c r="J21" s="4">
        <f>SUM('2022 Budget'!T19:T23)</f>
        <v>66425791.332441099</v>
      </c>
      <c r="K21" s="4">
        <f>SUM('2022 Budget'!U19:U23)</f>
        <v>70268808.056514859</v>
      </c>
      <c r="L21" s="210"/>
    </row>
    <row r="22" spans="1:21" ht="15.95" customHeight="1" x14ac:dyDescent="0.2">
      <c r="A22" s="100">
        <v>2</v>
      </c>
      <c r="B22" s="365" t="s">
        <v>82</v>
      </c>
      <c r="C22" s="365"/>
      <c r="D22" s="4">
        <f>SUM('2022 Budget'!M24:M26)</f>
        <v>1596782.11</v>
      </c>
      <c r="E22" s="4">
        <f>SUM('2022 Budget'!N24:N26)</f>
        <v>1676612.2799999998</v>
      </c>
      <c r="F22" s="4">
        <f>SUM('2022 Budget'!P24:P26)</f>
        <v>1446769.8</v>
      </c>
      <c r="G22" s="255">
        <f>SUM('2022 Budget'!Q24:Q26)</f>
        <v>1726910.65</v>
      </c>
      <c r="H22" s="4">
        <f>SUM('2022 Budget'!R24:R26)</f>
        <v>1778717.9694999999</v>
      </c>
      <c r="I22" s="4">
        <f>SUM('2022 Budget'!S24:S26)</f>
        <v>1832079.5085849999</v>
      </c>
      <c r="J22" s="4">
        <f>SUM('2022 Budget'!T24:T26)</f>
        <v>1887041.89384255</v>
      </c>
      <c r="K22" s="4">
        <f>SUM('2022 Budget'!U24:U26)</f>
        <v>1943653.1506578266</v>
      </c>
      <c r="L22" s="6"/>
    </row>
    <row r="23" spans="1:21" ht="15.95" customHeight="1" x14ac:dyDescent="0.2">
      <c r="A23" s="96">
        <v>3</v>
      </c>
      <c r="B23" s="365" t="s">
        <v>78</v>
      </c>
      <c r="C23" s="365"/>
      <c r="D23" s="4">
        <f>SUM('2022 Budget'!M27:M29)</f>
        <v>319548.77</v>
      </c>
      <c r="E23" s="4">
        <f>SUM('2022 Budget'!N27:N29)</f>
        <v>363213.58</v>
      </c>
      <c r="F23" s="4">
        <f>SUM('2022 Budget'!P27:P29)</f>
        <v>390382.71</v>
      </c>
      <c r="G23" s="255">
        <f>SUM('2022 Budget'!Q27:Q29)</f>
        <v>381494.35399999999</v>
      </c>
      <c r="H23" s="4">
        <f>SUM('2022 Budget'!R27:R29)</f>
        <v>400569.07170000003</v>
      </c>
      <c r="I23" s="4">
        <f>SUM('2022 Budget'!S27:S29)</f>
        <v>420597.5252850001</v>
      </c>
      <c r="J23" s="4">
        <f>SUM('2022 Budget'!T27:T29)</f>
        <v>441627.40154925012</v>
      </c>
      <c r="K23" s="4">
        <f>SUM('2022 Budget'!U27:U29)</f>
        <v>463708.77162671264</v>
      </c>
      <c r="L23" s="6"/>
      <c r="M23" s="366"/>
      <c r="N23" s="366"/>
      <c r="O23" s="366"/>
    </row>
    <row r="24" spans="1:21" ht="15.95" customHeight="1" x14ac:dyDescent="0.2">
      <c r="A24" s="100">
        <v>4</v>
      </c>
      <c r="B24" s="365" t="s">
        <v>83</v>
      </c>
      <c r="C24" s="365"/>
      <c r="D24" s="4">
        <f>SUM('2022 Budget'!M30)</f>
        <v>263487.43</v>
      </c>
      <c r="E24" s="4">
        <f>SUM('2022 Budget'!N30)</f>
        <v>264860.09000000003</v>
      </c>
      <c r="F24" s="4">
        <f>SUM('2022 Budget'!P30)</f>
        <v>373317.01</v>
      </c>
      <c r="G24" s="255">
        <f>SUM('2022 Budget'!Q30)</f>
        <v>304589.09999999998</v>
      </c>
      <c r="H24" s="4">
        <f>SUM('2022 Budget'!R30)</f>
        <v>350277.46499999997</v>
      </c>
      <c r="I24" s="4">
        <f>SUM('2022 Budget'!S30)</f>
        <v>402819.08474999992</v>
      </c>
      <c r="J24" s="4">
        <f>SUM('2022 Budget'!T30)</f>
        <v>463241.9474624999</v>
      </c>
      <c r="K24" s="4">
        <f>SUM('2022 Budget'!U30)</f>
        <v>532728.2395818748</v>
      </c>
      <c r="M24" s="366"/>
      <c r="N24" s="366"/>
      <c r="O24" s="366"/>
    </row>
    <row r="25" spans="1:21" ht="15.95" customHeight="1" x14ac:dyDescent="0.2">
      <c r="A25" s="96">
        <v>5</v>
      </c>
      <c r="B25" s="365" t="s">
        <v>79</v>
      </c>
      <c r="C25" s="365"/>
      <c r="D25" s="4">
        <f>SUM('2022 Budget'!M31:M40)</f>
        <v>230293.01</v>
      </c>
      <c r="E25" s="4">
        <f>SUM('2022 Budget'!N31:N40)</f>
        <v>239148</v>
      </c>
      <c r="F25" s="4">
        <f>SUM('2022 Budget'!P31:P40)</f>
        <v>217876.5</v>
      </c>
      <c r="G25" s="255">
        <f>SUM('2022 Budget'!Q31:Q40)</f>
        <v>243363.4</v>
      </c>
      <c r="H25" s="4">
        <f>SUM('2022 Budget'!R31:R40)</f>
        <v>249764.302</v>
      </c>
      <c r="I25" s="4">
        <f>SUM('2022 Budget'!S31:S40)</f>
        <v>256357.23105999999</v>
      </c>
      <c r="J25" s="4">
        <f>SUM('2022 Budget'!T31:T40)</f>
        <v>263147.94799179997</v>
      </c>
      <c r="K25" s="4">
        <f>SUM('2022 Budget'!U31:U40)</f>
        <v>270142.38643155398</v>
      </c>
    </row>
    <row r="26" spans="1:21" ht="15.95" customHeight="1" x14ac:dyDescent="0.2">
      <c r="A26" s="100">
        <v>6</v>
      </c>
      <c r="B26" s="365" t="s">
        <v>80</v>
      </c>
      <c r="C26" s="365"/>
      <c r="D26" s="4">
        <f>SUM('2022 Budget'!M41:M55)</f>
        <v>351337.56</v>
      </c>
      <c r="E26" s="4">
        <f>SUM('2022 Budget'!N41:N55)</f>
        <v>402930.07</v>
      </c>
      <c r="F26" s="4">
        <f>SUM('2022 Budget'!P41:P55)</f>
        <v>587089.87999999989</v>
      </c>
      <c r="G26" s="255">
        <f>SUM('2022 Budget'!Q41:Q55)</f>
        <v>595439.84679999994</v>
      </c>
      <c r="H26" s="4">
        <f>SUM('2022 Budget'!R41:R55)</f>
        <v>614958.51330400002</v>
      </c>
      <c r="I26" s="4">
        <f>SUM('2022 Budget'!S41:S55)</f>
        <v>635452.26691312005</v>
      </c>
      <c r="J26" s="4">
        <f>SUM('2022 Budget'!T41:T55)</f>
        <v>656989.31295151357</v>
      </c>
      <c r="K26" s="4">
        <f>SUM('2022 Budget'!U41:U55)</f>
        <v>679643.79817415914</v>
      </c>
      <c r="M26" s="6"/>
    </row>
    <row r="27" spans="1:21" ht="15.95" customHeight="1" x14ac:dyDescent="0.2">
      <c r="A27" s="214">
        <v>7</v>
      </c>
      <c r="B27" s="365" t="s">
        <v>84</v>
      </c>
      <c r="C27" s="365"/>
      <c r="D27" s="68">
        <f>SUM('2022 Budget'!M57:M65)</f>
        <v>13724.15</v>
      </c>
      <c r="E27" s="68">
        <f>SUM('2022 Budget'!N57:N65)</f>
        <v>25844.21</v>
      </c>
      <c r="F27" s="68">
        <f>SUM('2022 Budget'!P57:P65)</f>
        <v>26577.32</v>
      </c>
      <c r="G27" s="257">
        <f>SUM('2022 Budget'!Q57:Q65)</f>
        <v>42586.982000000004</v>
      </c>
      <c r="H27" s="68">
        <f>SUM('2022 Budget'!R57:R65)</f>
        <v>40306.591460000003</v>
      </c>
      <c r="I27" s="68">
        <f>SUM('2022 Budget'!S57:S65)</f>
        <v>44137.789203800006</v>
      </c>
      <c r="J27" s="68">
        <f>SUM('2022 Budget'!T57:T65)</f>
        <v>41539.261164914002</v>
      </c>
      <c r="K27" s="68">
        <f>SUM('2022 Budget'!U57:U65)</f>
        <v>45135.477284861423</v>
      </c>
    </row>
    <row r="28" spans="1:21" ht="15.95" customHeight="1" x14ac:dyDescent="0.2">
      <c r="B28" s="340" t="s">
        <v>12</v>
      </c>
      <c r="C28" s="340"/>
      <c r="D28" s="65">
        <f t="shared" ref="D28:K28" si="5">SUM(D21:D27)</f>
        <v>49684221.039999999</v>
      </c>
      <c r="E28" s="65">
        <f t="shared" si="5"/>
        <v>56113638.731730774</v>
      </c>
      <c r="F28" s="65">
        <f t="shared" si="5"/>
        <v>57400676.899999999</v>
      </c>
      <c r="G28" s="255">
        <f t="shared" si="5"/>
        <v>59446862.612799995</v>
      </c>
      <c r="H28" s="65">
        <f t="shared" si="5"/>
        <v>62814617.647354387</v>
      </c>
      <c r="I28" s="65">
        <f t="shared" si="5"/>
        <v>66391902.01656881</v>
      </c>
      <c r="J28" s="65">
        <f t="shared" si="5"/>
        <v>70179379.097403646</v>
      </c>
      <c r="K28" s="65">
        <f t="shared" si="5"/>
        <v>74203819.880271852</v>
      </c>
      <c r="M28" s="6"/>
      <c r="N28" s="6"/>
      <c r="O28" s="6"/>
      <c r="P28" s="6"/>
      <c r="Q28" s="6"/>
      <c r="R28" s="6"/>
      <c r="S28" s="6"/>
      <c r="T28" s="6"/>
      <c r="U28" s="6"/>
    </row>
    <row r="29" spans="1:21" ht="15.95" customHeight="1" x14ac:dyDescent="0.2">
      <c r="B29" s="1"/>
      <c r="C29" s="1"/>
      <c r="D29" s="42"/>
      <c r="E29" s="42"/>
      <c r="F29" s="42"/>
      <c r="G29" s="258"/>
      <c r="H29" s="42"/>
      <c r="I29" s="42"/>
      <c r="J29" s="42"/>
      <c r="K29" s="42"/>
    </row>
    <row r="30" spans="1:21" ht="15.95" customHeight="1" x14ac:dyDescent="0.2">
      <c r="B30" s="369" t="s">
        <v>6</v>
      </c>
      <c r="C30" s="369"/>
      <c r="D30" s="62">
        <f t="shared" ref="D30:K30" si="6">+D18-D28</f>
        <v>863807.81000000238</v>
      </c>
      <c r="E30" s="62">
        <f t="shared" si="6"/>
        <v>-953061.44173077494</v>
      </c>
      <c r="F30" s="62">
        <f t="shared" si="6"/>
        <v>-692886.06000000238</v>
      </c>
      <c r="G30" s="259">
        <f t="shared" si="6"/>
        <v>-1012001.7339086458</v>
      </c>
      <c r="H30" s="62">
        <f t="shared" si="6"/>
        <v>-833284.55559077859</v>
      </c>
      <c r="I30" s="62">
        <f t="shared" si="6"/>
        <v>-221212.90468870848</v>
      </c>
      <c r="J30" s="62">
        <f t="shared" si="6"/>
        <v>480624.97169904411</v>
      </c>
      <c r="K30" s="62">
        <f t="shared" si="6"/>
        <v>1266924.4208561778</v>
      </c>
    </row>
    <row r="31" spans="1:21" ht="15.95" customHeight="1" x14ac:dyDescent="0.2">
      <c r="B31" s="1"/>
      <c r="D31" s="1"/>
      <c r="E31" s="1"/>
      <c r="F31" s="1"/>
      <c r="G31" s="260"/>
      <c r="H31" s="1"/>
      <c r="I31" s="1"/>
      <c r="J31" s="1"/>
      <c r="K31" s="1"/>
    </row>
    <row r="32" spans="1:21" ht="15.95" customHeight="1" x14ac:dyDescent="0.2">
      <c r="B32" s="341" t="s">
        <v>139</v>
      </c>
      <c r="C32" s="342"/>
      <c r="D32" s="10">
        <f t="shared" ref="D32:K32" si="7">+D9+D30</f>
        <v>33399992.82000003</v>
      </c>
      <c r="E32" s="10">
        <f t="shared" si="7"/>
        <v>32446931.378269248</v>
      </c>
      <c r="F32" s="10">
        <f t="shared" si="7"/>
        <v>32707106.76000002</v>
      </c>
      <c r="G32" s="253">
        <f t="shared" si="7"/>
        <v>31434929.644360617</v>
      </c>
      <c r="H32" s="10">
        <f t="shared" si="7"/>
        <v>30601645.088769838</v>
      </c>
      <c r="I32" s="10">
        <f t="shared" si="7"/>
        <v>30380432.18408113</v>
      </c>
      <c r="J32" s="10">
        <f t="shared" si="7"/>
        <v>30861057.155780174</v>
      </c>
      <c r="K32" s="10">
        <f t="shared" si="7"/>
        <v>32127981.576636352</v>
      </c>
    </row>
    <row r="33" spans="2:15" ht="15.95" customHeight="1" x14ac:dyDescent="0.2">
      <c r="B33" s="1"/>
      <c r="D33" s="22"/>
      <c r="G33" s="260"/>
    </row>
    <row r="34" spans="2:15" ht="15.95" customHeight="1" x14ac:dyDescent="0.2">
      <c r="B34" s="98" t="s">
        <v>22</v>
      </c>
      <c r="C34" s="117"/>
      <c r="D34" s="118"/>
      <c r="E34" s="118"/>
      <c r="F34" s="118"/>
      <c r="G34" s="261"/>
      <c r="H34" s="118"/>
      <c r="I34" s="118"/>
      <c r="J34" s="118"/>
      <c r="K34" s="118"/>
    </row>
    <row r="35" spans="2:15" ht="15.95" customHeight="1" x14ac:dyDescent="0.2">
      <c r="B35" s="99">
        <v>4010</v>
      </c>
      <c r="C35" s="49" t="s">
        <v>140</v>
      </c>
      <c r="D35" s="13">
        <f>+'2022 Budget'!L74</f>
        <v>5637280</v>
      </c>
      <c r="E35" s="13">
        <f>+'2022 Budget'!N74</f>
        <v>5828922</v>
      </c>
      <c r="F35" s="13">
        <f>E35</f>
        <v>5828922</v>
      </c>
      <c r="G35" s="262">
        <f>'2022 Budget'!Q74</f>
        <v>6733980.5171999987</v>
      </c>
      <c r="H35" s="13">
        <f>'2022 Budget'!R74</f>
        <v>7121070.1279079989</v>
      </c>
      <c r="I35" s="13">
        <f>'2022 Budget'!S74</f>
        <v>7531295.6770628393</v>
      </c>
      <c r="J35" s="13">
        <f>'2022 Budget'!T74</f>
        <v>7966097.6358516542</v>
      </c>
      <c r="K35" s="13">
        <f>'2022 Budget'!U74</f>
        <v>8427009.776538441</v>
      </c>
    </row>
    <row r="36" spans="2:15" ht="15.95" customHeight="1" x14ac:dyDescent="0.2">
      <c r="B36" s="99">
        <v>5010</v>
      </c>
      <c r="C36" s="49" t="s">
        <v>141</v>
      </c>
      <c r="D36" s="13">
        <f>+'2022 Budget'!L75</f>
        <v>2514837</v>
      </c>
      <c r="E36" s="13">
        <f>+'2022 Budget'!N75</f>
        <v>2409497</v>
      </c>
      <c r="F36" s="13">
        <f t="shared" ref="F36:F38" si="8">E36</f>
        <v>2409497</v>
      </c>
      <c r="G36" s="262">
        <f>'2022 Budget'!Q75</f>
        <v>2828631.3111000005</v>
      </c>
      <c r="H36" s="13">
        <f>'2022 Budget'!R75</f>
        <v>2998349.1897660005</v>
      </c>
      <c r="I36" s="13">
        <f>'2022 Budget'!S75</f>
        <v>3208233.6330496203</v>
      </c>
      <c r="J36" s="13">
        <f>'2022 Budget'!T75</f>
        <v>3432809.9873630945</v>
      </c>
      <c r="K36" s="13">
        <f>'2022 Budget'!U75</f>
        <v>3673106.6864785114</v>
      </c>
    </row>
    <row r="37" spans="2:15" ht="15.95" customHeight="1" x14ac:dyDescent="0.2">
      <c r="B37" s="99">
        <v>5014</v>
      </c>
      <c r="C37" s="49" t="s">
        <v>142</v>
      </c>
      <c r="D37" s="13">
        <f>+'2022 Budget'!L76</f>
        <v>2184812</v>
      </c>
      <c r="E37" s="13">
        <f>+'2022 Budget'!N76</f>
        <v>3391769</v>
      </c>
      <c r="F37" s="13">
        <f t="shared" si="8"/>
        <v>3391769</v>
      </c>
      <c r="G37" s="262">
        <f>'2022 Budget'!Q76</f>
        <v>4208737.8232499994</v>
      </c>
      <c r="H37" s="13">
        <f>'2022 Budget'!R76</f>
        <v>4450668.8299424993</v>
      </c>
      <c r="I37" s="13">
        <f>'2022 Budget'!S76</f>
        <v>4707059.7981642745</v>
      </c>
      <c r="J37" s="13">
        <f>'2022 Budget'!T76</f>
        <v>4978811.022407284</v>
      </c>
      <c r="K37" s="13">
        <f>'2022 Budget'!U76</f>
        <v>5266881.1103365254</v>
      </c>
    </row>
    <row r="38" spans="2:15" ht="15.95" customHeight="1" x14ac:dyDescent="0.2">
      <c r="B38" s="99">
        <v>5012</v>
      </c>
      <c r="C38" s="49" t="s">
        <v>31</v>
      </c>
      <c r="D38" s="13">
        <f>+'2022 Budget'!L77</f>
        <v>2800000</v>
      </c>
      <c r="E38" s="13">
        <f>+'2022 Budget'!N77</f>
        <v>5623635.7199999988</v>
      </c>
      <c r="F38" s="13">
        <f t="shared" si="8"/>
        <v>5623635.7199999988</v>
      </c>
      <c r="G38" s="262">
        <f>'2022 Budget'!Q77</f>
        <v>5623635.7199999988</v>
      </c>
      <c r="H38" s="13">
        <f>'2022 Budget'!R77</f>
        <v>5623635.7199999988</v>
      </c>
      <c r="I38" s="13">
        <f>'2022 Budget'!S77</f>
        <v>5623635.7199999988</v>
      </c>
      <c r="J38" s="13">
        <f>'2022 Budget'!T77</f>
        <v>5623635.7199999988</v>
      </c>
      <c r="K38" s="13">
        <f>'2022 Budget'!U77</f>
        <v>5623635.7199999988</v>
      </c>
    </row>
    <row r="39" spans="2:15" ht="15.95" customHeight="1" x14ac:dyDescent="0.2">
      <c r="B39" s="340" t="s">
        <v>23</v>
      </c>
      <c r="C39" s="340"/>
      <c r="D39" s="65">
        <f t="shared" ref="D39:K39" si="9">SUM(D35:D38)</f>
        <v>13136929</v>
      </c>
      <c r="E39" s="65">
        <f t="shared" si="9"/>
        <v>17253823.719999999</v>
      </c>
      <c r="F39" s="65">
        <f t="shared" si="9"/>
        <v>17253823.719999999</v>
      </c>
      <c r="G39" s="255">
        <f t="shared" si="9"/>
        <v>19394985.371549997</v>
      </c>
      <c r="H39" s="65">
        <f t="shared" si="9"/>
        <v>20193723.867616497</v>
      </c>
      <c r="I39" s="65">
        <f t="shared" si="9"/>
        <v>21070224.828276731</v>
      </c>
      <c r="J39" s="65">
        <f t="shared" si="9"/>
        <v>22001354.365622029</v>
      </c>
      <c r="K39" s="65">
        <f t="shared" si="9"/>
        <v>22990633.293353476</v>
      </c>
    </row>
    <row r="40" spans="2:15" ht="15.95" customHeight="1" x14ac:dyDescent="0.2">
      <c r="B40" s="1"/>
      <c r="G40" s="260"/>
    </row>
    <row r="41" spans="2:15" ht="15.95" customHeight="1" x14ac:dyDescent="0.2">
      <c r="B41" s="369" t="s">
        <v>10</v>
      </c>
      <c r="C41" s="369"/>
      <c r="D41" s="20">
        <f t="shared" ref="D41:K41" si="10">+D32-D39</f>
        <v>20263063.82000003</v>
      </c>
      <c r="E41" s="20">
        <f t="shared" si="10"/>
        <v>15193107.658269249</v>
      </c>
      <c r="F41" s="20">
        <f t="shared" si="10"/>
        <v>15453283.040000021</v>
      </c>
      <c r="G41" s="263">
        <f t="shared" si="10"/>
        <v>12039944.272810619</v>
      </c>
      <c r="H41" s="20">
        <f t="shared" si="10"/>
        <v>10407921.221153341</v>
      </c>
      <c r="I41" s="20">
        <f t="shared" si="10"/>
        <v>9310207.3558043987</v>
      </c>
      <c r="J41" s="20">
        <f t="shared" si="10"/>
        <v>8859702.7901581451</v>
      </c>
      <c r="K41" s="20">
        <f t="shared" si="10"/>
        <v>9137348.283282876</v>
      </c>
    </row>
    <row r="42" spans="2:15" ht="15.95" customHeight="1" x14ac:dyDescent="0.2">
      <c r="B42" s="369"/>
      <c r="C42" s="369"/>
      <c r="D42" s="39">
        <f t="shared" ref="D42:K42" si="11">+D41/D12</f>
        <v>0.42048327250108392</v>
      </c>
      <c r="E42" s="39">
        <f t="shared" si="11"/>
        <v>0.28198731624339884</v>
      </c>
      <c r="F42" s="39">
        <f t="shared" si="11"/>
        <v>0.28095689367570831</v>
      </c>
      <c r="G42" s="264">
        <f t="shared" si="11"/>
        <v>0.21282279216743374</v>
      </c>
      <c r="H42" s="39">
        <f t="shared" si="11"/>
        <v>0.17356085903332702</v>
      </c>
      <c r="I42" s="39">
        <f t="shared" si="11"/>
        <v>0.14509864961041635</v>
      </c>
      <c r="J42" s="39">
        <f t="shared" si="11"/>
        <v>0.1290444682748623</v>
      </c>
      <c r="K42" s="39">
        <f t="shared" si="11"/>
        <v>0.12438174361936455</v>
      </c>
    </row>
    <row r="43" spans="2:15" ht="15.95" customHeight="1" x14ac:dyDescent="0.2">
      <c r="B43" s="114"/>
      <c r="C43" s="114"/>
      <c r="D43" s="119"/>
      <c r="E43" s="119"/>
      <c r="F43" s="119"/>
      <c r="G43" s="119"/>
      <c r="H43" s="119"/>
      <c r="I43" s="119"/>
      <c r="J43" s="119"/>
      <c r="K43" s="119"/>
    </row>
    <row r="44" spans="2:15" ht="32.1" customHeight="1" x14ac:dyDescent="0.2">
      <c r="B44" s="220" t="s">
        <v>266</v>
      </c>
      <c r="C44" s="221"/>
      <c r="D44" s="221"/>
      <c r="E44" s="221"/>
      <c r="F44" s="221"/>
      <c r="G44" s="221"/>
      <c r="H44" s="221"/>
      <c r="I44" s="221"/>
      <c r="J44" s="221"/>
      <c r="K44" s="222"/>
      <c r="M44" s="31" t="s">
        <v>36</v>
      </c>
      <c r="N44" s="25" t="s">
        <v>63</v>
      </c>
      <c r="O44" s="67"/>
    </row>
    <row r="45" spans="2:15" ht="15.95" customHeight="1" x14ac:dyDescent="0.2">
      <c r="B45" s="56" t="s">
        <v>284</v>
      </c>
      <c r="C45" s="224"/>
      <c r="D45" s="224"/>
      <c r="E45" s="224"/>
      <c r="F45" s="224"/>
      <c r="G45" s="224"/>
      <c r="H45" s="224"/>
      <c r="I45" s="224"/>
      <c r="J45" s="224"/>
      <c r="K45" s="225"/>
      <c r="L45" s="110"/>
      <c r="M45" s="23">
        <v>2011</v>
      </c>
      <c r="N45" s="26">
        <v>9.5000000000000001E-2</v>
      </c>
    </row>
    <row r="46" spans="2:15" ht="15.95" customHeight="1" x14ac:dyDescent="0.2">
      <c r="B46" s="56" t="s">
        <v>322</v>
      </c>
      <c r="C46" s="224"/>
      <c r="D46" s="224"/>
      <c r="E46" s="224"/>
      <c r="F46" s="224"/>
      <c r="G46" s="224"/>
      <c r="H46" s="224"/>
      <c r="I46" s="224"/>
      <c r="J46" s="224"/>
      <c r="K46" s="225"/>
      <c r="L46" s="110"/>
      <c r="M46" s="23">
        <v>2012</v>
      </c>
      <c r="N46" s="26">
        <v>9.5000000000000001E-2</v>
      </c>
    </row>
    <row r="47" spans="2:15" ht="15.95" customHeight="1" x14ac:dyDescent="0.2">
      <c r="B47" s="56" t="s">
        <v>285</v>
      </c>
      <c r="C47" s="224"/>
      <c r="D47" s="224"/>
      <c r="E47" s="224"/>
      <c r="F47" s="224"/>
      <c r="G47" s="224"/>
      <c r="H47" s="224"/>
      <c r="I47" s="224"/>
      <c r="J47" s="224"/>
      <c r="K47" s="225"/>
      <c r="L47" s="110"/>
      <c r="M47" s="23">
        <v>2013</v>
      </c>
      <c r="N47" s="26">
        <v>0.09</v>
      </c>
    </row>
    <row r="48" spans="2:15" ht="15.95" customHeight="1" x14ac:dyDescent="0.2">
      <c r="B48" s="56" t="s">
        <v>286</v>
      </c>
      <c r="C48" s="224"/>
      <c r="D48" s="224"/>
      <c r="E48" s="224"/>
      <c r="F48" s="224"/>
      <c r="G48" s="224"/>
      <c r="H48" s="224"/>
      <c r="I48" s="224"/>
      <c r="J48" s="224"/>
      <c r="K48" s="225"/>
      <c r="L48" s="110"/>
      <c r="M48" s="23">
        <v>2014</v>
      </c>
      <c r="N48" s="26">
        <v>0.08</v>
      </c>
    </row>
    <row r="49" spans="2:15" ht="13.5" x14ac:dyDescent="0.2">
      <c r="B49" s="352" t="s">
        <v>287</v>
      </c>
      <c r="C49" s="353"/>
      <c r="D49" s="353"/>
      <c r="E49" s="353"/>
      <c r="F49" s="353"/>
      <c r="G49" s="353"/>
      <c r="H49" s="353"/>
      <c r="I49" s="353"/>
      <c r="J49" s="353"/>
      <c r="K49" s="354"/>
      <c r="L49" s="110"/>
      <c r="M49" s="23">
        <v>2015</v>
      </c>
      <c r="N49" s="26">
        <v>0.05</v>
      </c>
    </row>
    <row r="50" spans="2:15" ht="15.95" customHeight="1" x14ac:dyDescent="0.2">
      <c r="B50" s="56" t="s">
        <v>137</v>
      </c>
      <c r="C50" s="287"/>
      <c r="D50" s="287"/>
      <c r="E50" s="287"/>
      <c r="F50" s="287"/>
      <c r="G50" s="287"/>
      <c r="H50" s="287"/>
      <c r="I50" s="287"/>
      <c r="J50" s="287"/>
      <c r="K50" s="288"/>
      <c r="L50" s="110"/>
      <c r="M50" s="23">
        <v>2016</v>
      </c>
      <c r="N50" s="26">
        <v>0.03</v>
      </c>
    </row>
    <row r="51" spans="2:15" ht="15.95" customHeight="1" x14ac:dyDescent="0.2">
      <c r="B51" s="56" t="s">
        <v>71</v>
      </c>
      <c r="C51" s="224"/>
      <c r="D51" s="224"/>
      <c r="E51" s="224"/>
      <c r="F51" s="224"/>
      <c r="G51" s="224"/>
      <c r="H51" s="224"/>
      <c r="I51" s="224"/>
      <c r="J51" s="224"/>
      <c r="K51" s="225"/>
      <c r="L51" s="110"/>
      <c r="M51" s="23">
        <v>2017</v>
      </c>
      <c r="N51" s="26">
        <v>0.05</v>
      </c>
    </row>
    <row r="52" spans="2:15" ht="15.95" customHeight="1" x14ac:dyDescent="0.2">
      <c r="B52" s="56" t="s">
        <v>56</v>
      </c>
      <c r="C52" s="224"/>
      <c r="D52" s="224"/>
      <c r="E52" s="224"/>
      <c r="F52" s="224"/>
      <c r="G52" s="224"/>
      <c r="H52" s="224"/>
      <c r="I52" s="224"/>
      <c r="J52" s="224"/>
      <c r="K52" s="225"/>
      <c r="L52" s="110"/>
      <c r="M52" s="23">
        <v>2018</v>
      </c>
      <c r="N52" s="26">
        <v>0.04</v>
      </c>
    </row>
    <row r="53" spans="2:15" ht="15.95" customHeight="1" x14ac:dyDescent="0.2">
      <c r="B53" s="56" t="s">
        <v>138</v>
      </c>
      <c r="C53" s="224"/>
      <c r="D53" s="224"/>
      <c r="E53" s="224"/>
      <c r="F53" s="224"/>
      <c r="G53" s="224"/>
      <c r="H53" s="224"/>
      <c r="I53" s="224"/>
      <c r="J53" s="224"/>
      <c r="K53" s="225"/>
      <c r="L53" s="110"/>
      <c r="M53" s="23">
        <v>2019</v>
      </c>
      <c r="N53" s="26">
        <v>0.05</v>
      </c>
    </row>
    <row r="54" spans="2:15" ht="15.95" customHeight="1" x14ac:dyDescent="0.2">
      <c r="B54" s="56" t="s">
        <v>288</v>
      </c>
      <c r="C54" s="224"/>
      <c r="D54" s="224"/>
      <c r="E54" s="224"/>
      <c r="F54" s="224"/>
      <c r="G54" s="224"/>
      <c r="H54" s="224"/>
      <c r="I54" s="224"/>
      <c r="J54" s="224"/>
      <c r="K54" s="225"/>
      <c r="L54" s="110"/>
      <c r="M54" s="23">
        <v>2020</v>
      </c>
      <c r="N54" s="26">
        <v>0.05</v>
      </c>
    </row>
    <row r="55" spans="2:15" ht="15.95" customHeight="1" x14ac:dyDescent="0.2">
      <c r="B55" s="56" t="s">
        <v>289</v>
      </c>
      <c r="C55" s="224"/>
      <c r="D55" s="224"/>
      <c r="E55" s="224"/>
      <c r="F55" s="224"/>
      <c r="G55" s="224"/>
      <c r="H55" s="224"/>
      <c r="I55" s="224"/>
      <c r="J55" s="224"/>
      <c r="K55" s="225"/>
      <c r="L55" s="217"/>
      <c r="M55" s="23">
        <v>2021</v>
      </c>
      <c r="N55" s="275">
        <v>0.05</v>
      </c>
    </row>
    <row r="56" spans="2:15" ht="15.95" customHeight="1" x14ac:dyDescent="0.2">
      <c r="B56" s="297" t="s">
        <v>290</v>
      </c>
      <c r="C56" s="298"/>
      <c r="D56" s="298"/>
      <c r="E56" s="298"/>
      <c r="F56" s="298"/>
      <c r="G56" s="298"/>
      <c r="H56" s="298"/>
      <c r="I56" s="298"/>
      <c r="J56" s="298"/>
      <c r="K56" s="299"/>
      <c r="M56" s="23">
        <v>2022</v>
      </c>
      <c r="N56" s="51">
        <v>0.05</v>
      </c>
    </row>
    <row r="57" spans="2:15" ht="15.95" customHeight="1" x14ac:dyDescent="0.2">
      <c r="B57" s="300" t="s">
        <v>291</v>
      </c>
      <c r="C57" s="298"/>
      <c r="D57" s="298"/>
      <c r="E57" s="298"/>
      <c r="F57" s="298"/>
      <c r="G57" s="298"/>
      <c r="H57" s="298"/>
      <c r="I57" s="298"/>
      <c r="J57" s="298"/>
      <c r="K57" s="299"/>
      <c r="M57" s="23">
        <v>2023</v>
      </c>
      <c r="N57" s="51">
        <v>0.06</v>
      </c>
    </row>
    <row r="58" spans="2:15" ht="15.95" customHeight="1" x14ac:dyDescent="0.2">
      <c r="B58" s="300" t="s">
        <v>292</v>
      </c>
      <c r="C58" s="298"/>
      <c r="D58" s="298"/>
      <c r="E58" s="298"/>
      <c r="F58" s="298"/>
      <c r="G58" s="298"/>
      <c r="H58" s="298"/>
      <c r="I58" s="298"/>
      <c r="J58" s="298"/>
      <c r="K58" s="299"/>
      <c r="M58" s="23">
        <v>2024</v>
      </c>
      <c r="N58" s="51">
        <v>7.0000000000000007E-2</v>
      </c>
    </row>
    <row r="59" spans="2:15" ht="15.95" customHeight="1" x14ac:dyDescent="0.2">
      <c r="B59" s="300" t="s">
        <v>293</v>
      </c>
      <c r="C59" s="298"/>
      <c r="D59" s="298"/>
      <c r="E59" s="298"/>
      <c r="F59" s="298"/>
      <c r="G59" s="298"/>
      <c r="H59" s="298"/>
      <c r="I59" s="298"/>
      <c r="J59" s="298"/>
      <c r="K59" s="299"/>
      <c r="M59" s="23">
        <v>2025</v>
      </c>
      <c r="N59" s="51">
        <v>7.0000000000000007E-2</v>
      </c>
      <c r="O59" s="44"/>
    </row>
    <row r="60" spans="2:15" ht="15.95" customHeight="1" x14ac:dyDescent="0.2">
      <c r="B60" s="21"/>
      <c r="D60" s="34"/>
      <c r="E60" s="34"/>
      <c r="F60" s="34"/>
      <c r="M60" s="23">
        <v>2026</v>
      </c>
      <c r="N60" s="51">
        <v>7.0000000000000007E-2</v>
      </c>
    </row>
    <row r="61" spans="2:15" ht="15.95" customHeight="1" x14ac:dyDescent="0.2">
      <c r="B61" s="21"/>
      <c r="C61" s="374" t="s">
        <v>200</v>
      </c>
      <c r="D61" s="370" t="str">
        <f>D7</f>
        <v>Actual Results                  2020 Fiscal Year</v>
      </c>
      <c r="E61" s="370" t="str">
        <f t="shared" ref="E61:K61" si="12">E7</f>
        <v>Projected 2021 Fiscal Year</v>
      </c>
      <c r="F61" s="370" t="str">
        <f t="shared" si="12"/>
        <v>Amended Budget       2021 Fiscal Year</v>
      </c>
      <c r="G61" s="372" t="str">
        <f t="shared" si="12"/>
        <v>Projected Budget 2022 Fiscal Year</v>
      </c>
      <c r="H61" s="370" t="str">
        <f t="shared" si="12"/>
        <v>Projected Budget 2023 Fiscal Year</v>
      </c>
      <c r="I61" s="370" t="str">
        <f t="shared" si="12"/>
        <v>Projected Budget 2024 Fiscal Year</v>
      </c>
      <c r="J61" s="370" t="str">
        <f t="shared" si="12"/>
        <v>Projected Budget 2025 Fiscal Year</v>
      </c>
      <c r="K61" s="370" t="str">
        <f t="shared" si="12"/>
        <v>Projected Budget 2026 Fiscal Year</v>
      </c>
      <c r="M61" s="120" t="s">
        <v>38</v>
      </c>
      <c r="N61" s="121">
        <f>AVERAGE(N45:N55)</f>
        <v>6.1818181818181835E-2</v>
      </c>
      <c r="O61" s="122" t="s">
        <v>213</v>
      </c>
    </row>
    <row r="62" spans="2:15" ht="15.95" customHeight="1" x14ac:dyDescent="0.2">
      <c r="B62" s="21"/>
      <c r="C62" s="375"/>
      <c r="D62" s="371"/>
      <c r="E62" s="371"/>
      <c r="F62" s="371"/>
      <c r="G62" s="373"/>
      <c r="H62" s="371"/>
      <c r="I62" s="371"/>
      <c r="J62" s="371"/>
      <c r="K62" s="371"/>
      <c r="M62" s="123" t="s">
        <v>64</v>
      </c>
      <c r="N62" s="124">
        <f>AVERAGE(N52:N56)</f>
        <v>4.8000000000000001E-2</v>
      </c>
      <c r="O62" s="125" t="s">
        <v>301</v>
      </c>
    </row>
    <row r="63" spans="2:15" ht="15.95" customHeight="1" x14ac:dyDescent="0.2">
      <c r="C63" s="166" t="s">
        <v>140</v>
      </c>
      <c r="D63" s="163">
        <f>+D35/D$21</f>
        <v>0.12017468354502213</v>
      </c>
      <c r="E63" s="163">
        <f t="shared" ref="E63:F63" si="13">+E35/E$21</f>
        <v>0.109687786348256</v>
      </c>
      <c r="F63" s="163">
        <f t="shared" si="13"/>
        <v>0.10723078172623687</v>
      </c>
      <c r="G63" s="265">
        <f t="shared" ref="G63:K63" si="14">+G35/G$21</f>
        <v>0.11992312224620835</v>
      </c>
      <c r="H63" s="163">
        <f t="shared" si="14"/>
        <v>0.11992366590759339</v>
      </c>
      <c r="I63" s="163">
        <f t="shared" si="14"/>
        <v>0.11992421462621339</v>
      </c>
      <c r="J63" s="163">
        <f t="shared" si="14"/>
        <v>0.11992476831753095</v>
      </c>
      <c r="K63" s="163">
        <f t="shared" si="14"/>
        <v>0.11992532689270718</v>
      </c>
      <c r="M63" s="164"/>
      <c r="N63" s="165"/>
    </row>
    <row r="64" spans="2:15" ht="15.95" customHeight="1" x14ac:dyDescent="0.2">
      <c r="C64" s="166" t="s">
        <v>201</v>
      </c>
      <c r="D64" s="163">
        <f t="shared" ref="D64:F66" si="15">+D36/D$12</f>
        <v>5.2185933033635723E-2</v>
      </c>
      <c r="E64" s="163">
        <f t="shared" si="15"/>
        <v>4.4720777855918999E-2</v>
      </c>
      <c r="F64" s="163">
        <f t="shared" si="15"/>
        <v>4.3807182634825872E-2</v>
      </c>
      <c r="G64" s="265">
        <f t="shared" ref="G64:K64" si="16">+G36/G$12</f>
        <v>5.000000000000001E-2</v>
      </c>
      <c r="H64" s="163">
        <f t="shared" si="16"/>
        <v>0.05</v>
      </c>
      <c r="I64" s="163">
        <f t="shared" si="16"/>
        <v>0.05</v>
      </c>
      <c r="J64" s="163">
        <f t="shared" si="16"/>
        <v>0.05</v>
      </c>
      <c r="K64" s="163">
        <f t="shared" si="16"/>
        <v>0.05</v>
      </c>
    </row>
    <row r="65" spans="2:15" ht="15.95" customHeight="1" x14ac:dyDescent="0.2">
      <c r="C65" s="166" t="s">
        <v>142</v>
      </c>
      <c r="D65" s="163">
        <f>+D37/D$21</f>
        <v>4.6575492206412827E-2</v>
      </c>
      <c r="E65" s="163">
        <f t="shared" ref="E65:F65" si="17">+E37/E$21</f>
        <v>6.3825804053414661E-2</v>
      </c>
      <c r="F65" s="163">
        <f t="shared" si="17"/>
        <v>6.2396107085463955E-2</v>
      </c>
      <c r="G65" s="265">
        <f t="shared" ref="G65:K65" si="18">+G37/G$21</f>
        <v>7.4951951403880224E-2</v>
      </c>
      <c r="H65" s="163">
        <f t="shared" si="18"/>
        <v>7.4952291192245876E-2</v>
      </c>
      <c r="I65" s="163">
        <f t="shared" si="18"/>
        <v>7.4952634141383367E-2</v>
      </c>
      <c r="J65" s="163">
        <f t="shared" si="18"/>
        <v>7.4952980198456851E-2</v>
      </c>
      <c r="K65" s="163">
        <f t="shared" si="18"/>
        <v>7.495332930794199E-2</v>
      </c>
    </row>
    <row r="66" spans="2:15" ht="15.95" customHeight="1" x14ac:dyDescent="0.2">
      <c r="C66" s="166" t="s">
        <v>31</v>
      </c>
      <c r="D66" s="163">
        <f t="shared" si="15"/>
        <v>5.8103412863012599E-2</v>
      </c>
      <c r="E66" s="163">
        <f t="shared" si="15"/>
        <v>0.10437587752826878</v>
      </c>
      <c r="F66" s="163">
        <f t="shared" si="15"/>
        <v>0.1022435956790029</v>
      </c>
      <c r="G66" s="265">
        <f t="shared" ref="G66:K66" si="19">+G38/G$12</f>
        <v>9.9405597645970262E-2</v>
      </c>
      <c r="H66" s="163">
        <f t="shared" si="19"/>
        <v>9.3778865703745523E-2</v>
      </c>
      <c r="I66" s="163">
        <f t="shared" si="19"/>
        <v>8.764379972312665E-2</v>
      </c>
      <c r="J66" s="163">
        <f t="shared" si="19"/>
        <v>8.1910093199183784E-2</v>
      </c>
      <c r="K66" s="163">
        <f t="shared" si="19"/>
        <v>7.6551488971199788E-2</v>
      </c>
    </row>
    <row r="67" spans="2:15" ht="15.95" customHeight="1" x14ac:dyDescent="0.2">
      <c r="C67" s="166" t="s">
        <v>10</v>
      </c>
      <c r="D67" s="163">
        <f>+D41/D$12</f>
        <v>0.42048327250108392</v>
      </c>
      <c r="E67" s="163">
        <f t="shared" ref="E67:F67" si="20">+E41/E$12</f>
        <v>0.28198731624339884</v>
      </c>
      <c r="F67" s="163">
        <f t="shared" si="20"/>
        <v>0.28095689367570831</v>
      </c>
      <c r="G67" s="265">
        <f t="shared" ref="G67:K67" si="21">+G41/G$12</f>
        <v>0.21282279216743374</v>
      </c>
      <c r="H67" s="163">
        <f t="shared" si="21"/>
        <v>0.17356085903332702</v>
      </c>
      <c r="I67" s="163">
        <f t="shared" si="21"/>
        <v>0.14509864961041635</v>
      </c>
      <c r="J67" s="163">
        <f t="shared" si="21"/>
        <v>0.1290444682748623</v>
      </c>
      <c r="K67" s="163">
        <f t="shared" si="21"/>
        <v>0.12438174361936455</v>
      </c>
    </row>
    <row r="68" spans="2:15" ht="15.95" customHeight="1" x14ac:dyDescent="0.2">
      <c r="C68" s="166" t="s">
        <v>199</v>
      </c>
      <c r="D68" s="167">
        <f t="shared" ref="D68:K68" si="22">+D32/D12</f>
        <v>0.69309056158647075</v>
      </c>
      <c r="E68" s="167">
        <f t="shared" si="22"/>
        <v>0.60222196179278353</v>
      </c>
      <c r="F68" s="167">
        <f t="shared" si="22"/>
        <v>0.59464950539140282</v>
      </c>
      <c r="G68" s="265">
        <f t="shared" si="22"/>
        <v>0.55565618468912759</v>
      </c>
      <c r="H68" s="167">
        <f t="shared" si="22"/>
        <v>0.51030822549321009</v>
      </c>
      <c r="I68" s="167">
        <f t="shared" si="22"/>
        <v>0.47347599425299164</v>
      </c>
      <c r="J68" s="167">
        <f t="shared" si="22"/>
        <v>0.44950138908629239</v>
      </c>
      <c r="K68" s="167">
        <f t="shared" si="22"/>
        <v>0.43734070800211577</v>
      </c>
    </row>
    <row r="69" spans="2:15" ht="15.95" customHeight="1" x14ac:dyDescent="0.2">
      <c r="E69" s="74"/>
      <c r="F69" s="74"/>
    </row>
    <row r="70" spans="2:15" ht="15.95" customHeight="1" x14ac:dyDescent="0.2">
      <c r="B70" s="21"/>
      <c r="C70" s="374" t="s">
        <v>296</v>
      </c>
      <c r="D70" s="370" t="s">
        <v>294</v>
      </c>
      <c r="E70" s="370" t="s">
        <v>261</v>
      </c>
      <c r="F70" s="370" t="s">
        <v>295</v>
      </c>
      <c r="G70" s="372" t="s">
        <v>49</v>
      </c>
      <c r="H70" s="370" t="s">
        <v>55</v>
      </c>
      <c r="I70" s="370" t="s">
        <v>72</v>
      </c>
      <c r="J70" s="370" t="s">
        <v>136</v>
      </c>
      <c r="K70" s="370" t="s">
        <v>260</v>
      </c>
    </row>
    <row r="71" spans="2:15" ht="15.95" customHeight="1" x14ac:dyDescent="0.2">
      <c r="B71" s="21"/>
      <c r="C71" s="375" t="s">
        <v>81</v>
      </c>
      <c r="D71" s="371"/>
      <c r="E71" s="371"/>
      <c r="F71" s="371"/>
      <c r="G71" s="373"/>
      <c r="H71" s="371"/>
      <c r="I71" s="371"/>
      <c r="J71" s="371"/>
      <c r="K71" s="371"/>
    </row>
    <row r="72" spans="2:15" ht="15.95" customHeight="1" x14ac:dyDescent="0.2">
      <c r="B72" s="21"/>
      <c r="C72" s="215" t="s">
        <v>81</v>
      </c>
      <c r="D72" s="163">
        <f t="shared" ref="D72:K78" si="23">(ROUND(D21,2))/(ROUND(D$28,2))</f>
        <v>0.9441437749871181</v>
      </c>
      <c r="E72" s="163">
        <f t="shared" si="23"/>
        <v>0.94702520996182071</v>
      </c>
      <c r="F72" s="163">
        <f t="shared" si="23"/>
        <v>0.94700387897342031</v>
      </c>
      <c r="G72" s="265">
        <f t="shared" si="23"/>
        <v>0.94458270486681961</v>
      </c>
      <c r="H72" s="163">
        <f t="shared" si="23"/>
        <v>0.94532174120461276</v>
      </c>
      <c r="I72" s="163">
        <f t="shared" si="23"/>
        <v>0.94590539959349096</v>
      </c>
      <c r="J72" s="163">
        <f t="shared" si="23"/>
        <v>0.94651437761152835</v>
      </c>
      <c r="K72" s="163">
        <f t="shared" si="23"/>
        <v>0.94697022570585221</v>
      </c>
    </row>
    <row r="73" spans="2:15" ht="15.95" customHeight="1" x14ac:dyDescent="0.2">
      <c r="C73" s="166" t="s">
        <v>82</v>
      </c>
      <c r="D73" s="163">
        <f t="shared" si="23"/>
        <v>3.2138616175836902E-2</v>
      </c>
      <c r="E73" s="163">
        <f t="shared" si="23"/>
        <v>2.9878872907659684E-2</v>
      </c>
      <c r="F73" s="163">
        <f t="shared" si="23"/>
        <v>2.520475154884454E-2</v>
      </c>
      <c r="G73" s="265">
        <f t="shared" si="23"/>
        <v>2.9049651641489711E-2</v>
      </c>
      <c r="H73" s="163">
        <f t="shared" si="23"/>
        <v>2.8316943357212333E-2</v>
      </c>
      <c r="I73" s="163">
        <f t="shared" si="23"/>
        <v>2.7594924294352969E-2</v>
      </c>
      <c r="J73" s="163">
        <f t="shared" si="23"/>
        <v>2.6888837065815536E-2</v>
      </c>
      <c r="K73" s="163">
        <f t="shared" si="23"/>
        <v>2.619343792736294E-2</v>
      </c>
    </row>
    <row r="74" spans="2:15" ht="15.95" customHeight="1" x14ac:dyDescent="0.2">
      <c r="C74" s="166" t="s">
        <v>78</v>
      </c>
      <c r="D74" s="163">
        <f t="shared" si="23"/>
        <v>6.4315946453650996E-3</v>
      </c>
      <c r="E74" s="163">
        <f t="shared" si="23"/>
        <v>6.4728217278452018E-3</v>
      </c>
      <c r="F74" s="163">
        <f t="shared" si="23"/>
        <v>6.8010123065290898E-3</v>
      </c>
      <c r="G74" s="265">
        <f t="shared" si="23"/>
        <v>6.4174009064664412E-3</v>
      </c>
      <c r="H74" s="163">
        <f t="shared" si="23"/>
        <v>6.3770040316403964E-3</v>
      </c>
      <c r="I74" s="163">
        <f t="shared" si="23"/>
        <v>6.335072760429405E-3</v>
      </c>
      <c r="J74" s="163">
        <f t="shared" si="23"/>
        <v>6.2928370935102793E-3</v>
      </c>
      <c r="K74" s="163">
        <f t="shared" si="23"/>
        <v>6.2491226293996021E-3</v>
      </c>
    </row>
    <row r="75" spans="2:15" ht="15.95" customHeight="1" x14ac:dyDescent="0.2">
      <c r="C75" s="166" t="s">
        <v>83</v>
      </c>
      <c r="D75" s="163">
        <f t="shared" si="23"/>
        <v>5.3032416426106455E-3</v>
      </c>
      <c r="E75" s="163">
        <f t="shared" si="23"/>
        <v>4.7200662084028793E-3</v>
      </c>
      <c r="F75" s="163">
        <f t="shared" si="23"/>
        <v>6.5037039659021868E-3</v>
      </c>
      <c r="G75" s="265">
        <f t="shared" si="23"/>
        <v>5.1237203550715694E-3</v>
      </c>
      <c r="H75" s="163">
        <f t="shared" si="23"/>
        <v>5.5763687355661227E-3</v>
      </c>
      <c r="I75" s="163">
        <f t="shared" si="23"/>
        <v>6.0672923616294974E-3</v>
      </c>
      <c r="J75" s="163">
        <f t="shared" si="23"/>
        <v>6.6008271366994756E-3</v>
      </c>
      <c r="K75" s="163">
        <f t="shared" si="23"/>
        <v>7.1792562817050492E-3</v>
      </c>
    </row>
    <row r="76" spans="2:15" s="1" customFormat="1" ht="15.95" customHeight="1" x14ac:dyDescent="0.2">
      <c r="C76" s="166" t="s">
        <v>79</v>
      </c>
      <c r="D76" s="163">
        <f t="shared" si="23"/>
        <v>4.6351337543280528E-3</v>
      </c>
      <c r="E76" s="163">
        <f t="shared" si="23"/>
        <v>4.261851582120702E-3</v>
      </c>
      <c r="F76" s="163">
        <f t="shared" si="23"/>
        <v>3.7957130780804436E-3</v>
      </c>
      <c r="G76" s="265">
        <f t="shared" si="23"/>
        <v>4.0937972050195635E-3</v>
      </c>
      <c r="H76" s="163">
        <f t="shared" si="23"/>
        <v>3.9762130113037471E-3</v>
      </c>
      <c r="I76" s="163">
        <f t="shared" si="23"/>
        <v>3.861272567892008E-3</v>
      </c>
      <c r="J76" s="163">
        <f t="shared" si="23"/>
        <v>3.7496477366241051E-3</v>
      </c>
      <c r="K76" s="163">
        <f t="shared" si="23"/>
        <v>3.640545600440321E-3</v>
      </c>
      <c r="M76" s="2"/>
      <c r="N76" s="2"/>
      <c r="O76" s="2"/>
    </row>
    <row r="77" spans="2:15" s="1" customFormat="1" ht="15.95" customHeight="1" x14ac:dyDescent="0.2">
      <c r="C77" s="166" t="s">
        <v>80</v>
      </c>
      <c r="D77" s="163">
        <f t="shared" si="23"/>
        <v>7.0714112578547537E-3</v>
      </c>
      <c r="E77" s="163">
        <f t="shared" si="23"/>
        <v>7.1806084780700876E-3</v>
      </c>
      <c r="F77" s="163">
        <f t="shared" si="23"/>
        <v>1.0227926075206267E-2</v>
      </c>
      <c r="G77" s="265">
        <f t="shared" si="23"/>
        <v>1.0016337681373897E-2</v>
      </c>
      <c r="H77" s="163">
        <f t="shared" si="23"/>
        <v>9.790054178575423E-3</v>
      </c>
      <c r="I77" s="163">
        <f t="shared" si="23"/>
        <v>9.5712315909939651E-3</v>
      </c>
      <c r="J77" s="163">
        <f t="shared" si="23"/>
        <v>9.36157199487107E-3</v>
      </c>
      <c r="K77" s="163">
        <f t="shared" si="23"/>
        <v>9.1591484252306413E-3</v>
      </c>
    </row>
    <row r="78" spans="2:15" ht="15.95" customHeight="1" x14ac:dyDescent="0.2">
      <c r="C78" s="166" t="s">
        <v>84</v>
      </c>
      <c r="D78" s="163">
        <f t="shared" si="23"/>
        <v>2.7622753688642717E-4</v>
      </c>
      <c r="E78" s="163">
        <f t="shared" si="23"/>
        <v>4.6056913408081885E-4</v>
      </c>
      <c r="F78" s="163">
        <f t="shared" si="23"/>
        <v>4.6301405201721587E-4</v>
      </c>
      <c r="G78" s="265">
        <f t="shared" si="23"/>
        <v>7.1638734375926733E-4</v>
      </c>
      <c r="H78" s="163">
        <f t="shared" si="23"/>
        <v>6.4167532189062047E-4</v>
      </c>
      <c r="I78" s="163">
        <f t="shared" si="23"/>
        <v>6.6480683121118993E-4</v>
      </c>
      <c r="J78" s="163">
        <f t="shared" si="23"/>
        <v>5.9190121845919847E-4</v>
      </c>
      <c r="K78" s="163">
        <f t="shared" si="23"/>
        <v>6.0826356477323724E-4</v>
      </c>
      <c r="L78" s="1"/>
      <c r="M78" s="1"/>
      <c r="N78" s="1"/>
      <c r="O78" s="1"/>
    </row>
    <row r="79" spans="2:15" ht="15.95" customHeight="1" x14ac:dyDescent="0.2">
      <c r="C79" s="166" t="s">
        <v>199</v>
      </c>
      <c r="D79" s="167">
        <f>SUM(D72:D78)</f>
        <v>0.99999999999999989</v>
      </c>
      <c r="E79" s="167">
        <f t="shared" ref="E79:K79" si="24">SUM(E72:E78)</f>
        <v>1.0000000000000002</v>
      </c>
      <c r="F79" s="167">
        <f t="shared" si="24"/>
        <v>1</v>
      </c>
      <c r="G79" s="265">
        <f t="shared" si="24"/>
        <v>1.0000000000000002</v>
      </c>
      <c r="H79" s="167">
        <f t="shared" si="24"/>
        <v>0.99999999984080146</v>
      </c>
      <c r="I79" s="167">
        <f t="shared" si="24"/>
        <v>1</v>
      </c>
      <c r="J79" s="167">
        <f t="shared" si="24"/>
        <v>0.99999999985750809</v>
      </c>
      <c r="K79" s="167">
        <f t="shared" si="24"/>
        <v>1.000000000134764</v>
      </c>
    </row>
    <row r="81" spans="3:11" x14ac:dyDescent="0.2">
      <c r="C81" s="166" t="s">
        <v>52</v>
      </c>
      <c r="D81" s="46">
        <f>'2022 Budget'!M100</f>
        <v>314.85519043824701</v>
      </c>
      <c r="E81" s="46">
        <f>'2022 Budget'!N100</f>
        <v>195.24732627921668</v>
      </c>
      <c r="F81" s="46">
        <f>'2022 Budget'!O100</f>
        <v>221.09917877447884</v>
      </c>
      <c r="G81" s="276">
        <f>'2022 Budget'!P100</f>
        <v>268.0965147453083</v>
      </c>
      <c r="H81" s="46">
        <f>'2022 Budget'!Q100</f>
        <v>268.47757422615285</v>
      </c>
      <c r="I81" s="46">
        <f>'2022 Budget'!R100</f>
        <v>268.47757422615285</v>
      </c>
      <c r="J81" s="46">
        <f>'2022 Budget'!S100</f>
        <v>268.47757422615285</v>
      </c>
      <c r="K81" s="46">
        <f>'2022 Budget'!T100</f>
        <v>268.47757422615285</v>
      </c>
    </row>
  </sheetData>
  <mergeCells count="42">
    <mergeCell ref="K70:K71"/>
    <mergeCell ref="B20:C20"/>
    <mergeCell ref="B11:C11"/>
    <mergeCell ref="F70:F71"/>
    <mergeCell ref="G70:G71"/>
    <mergeCell ref="H70:H71"/>
    <mergeCell ref="I70:I71"/>
    <mergeCell ref="J70:J71"/>
    <mergeCell ref="C70:C71"/>
    <mergeCell ref="D70:D71"/>
    <mergeCell ref="E70:E71"/>
    <mergeCell ref="I61:I62"/>
    <mergeCell ref="J61:J62"/>
    <mergeCell ref="K61:K62"/>
    <mergeCell ref="C61:C62"/>
    <mergeCell ref="D61:D62"/>
    <mergeCell ref="B32:C32"/>
    <mergeCell ref="B39:C39"/>
    <mergeCell ref="B41:C42"/>
    <mergeCell ref="B49:K49"/>
    <mergeCell ref="E61:E62"/>
    <mergeCell ref="F61:F62"/>
    <mergeCell ref="G61:G62"/>
    <mergeCell ref="H61:H62"/>
    <mergeCell ref="B25:C25"/>
    <mergeCell ref="B26:C26"/>
    <mergeCell ref="B27:C27"/>
    <mergeCell ref="B28:C28"/>
    <mergeCell ref="B30:C30"/>
    <mergeCell ref="B24:C24"/>
    <mergeCell ref="M24:O24"/>
    <mergeCell ref="J1:K1"/>
    <mergeCell ref="J2:K2"/>
    <mergeCell ref="J3:K3"/>
    <mergeCell ref="J4:K4"/>
    <mergeCell ref="B8:C8"/>
    <mergeCell ref="B9:C9"/>
    <mergeCell ref="B18:C18"/>
    <mergeCell ref="B21:C21"/>
    <mergeCell ref="B22:C22"/>
    <mergeCell ref="B23:C23"/>
    <mergeCell ref="M23:O23"/>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6"/>
  <sheetViews>
    <sheetView topLeftCell="A4" workbookViewId="0">
      <selection activeCell="G19" sqref="G19"/>
    </sheetView>
  </sheetViews>
  <sheetFormatPr defaultColWidth="9.140625" defaultRowHeight="12.75" x14ac:dyDescent="0.2"/>
  <cols>
    <col min="1" max="2" width="20.7109375" style="2" customWidth="1"/>
    <col min="3" max="3" width="20.7109375" style="2" hidden="1" customWidth="1"/>
    <col min="4" max="5" width="20.7109375" style="2" customWidth="1"/>
    <col min="6" max="16" width="12.7109375" style="2" customWidth="1"/>
    <col min="17" max="16384" width="9.140625" style="2"/>
  </cols>
  <sheetData>
    <row r="1" spans="1:11" ht="30" customHeight="1" x14ac:dyDescent="0.2">
      <c r="A1" s="379" t="s">
        <v>0</v>
      </c>
      <c r="B1" s="379"/>
      <c r="C1" s="379"/>
      <c r="D1" s="379"/>
      <c r="E1" s="379"/>
    </row>
    <row r="2" spans="1:11" ht="20.100000000000001" hidden="1" customHeight="1" x14ac:dyDescent="0.2">
      <c r="A2" s="2" t="s">
        <v>40</v>
      </c>
    </row>
    <row r="3" spans="1:11" ht="20.100000000000001" hidden="1" customHeight="1" x14ac:dyDescent="0.2"/>
    <row r="4" spans="1:11" ht="50.1" customHeight="1" x14ac:dyDescent="0.2">
      <c r="A4" s="31" t="s">
        <v>36</v>
      </c>
      <c r="B4" s="25" t="s">
        <v>63</v>
      </c>
      <c r="C4" s="25" t="s">
        <v>45</v>
      </c>
      <c r="D4" s="25" t="s">
        <v>37</v>
      </c>
      <c r="E4" s="25" t="s">
        <v>41</v>
      </c>
    </row>
    <row r="5" spans="1:11" ht="20.100000000000001" customHeight="1" x14ac:dyDescent="0.2">
      <c r="A5" s="23">
        <v>2011</v>
      </c>
      <c r="B5" s="26">
        <v>9.5000000000000001E-2</v>
      </c>
      <c r="C5" s="26">
        <v>0.1</v>
      </c>
      <c r="D5" s="27">
        <v>28</v>
      </c>
      <c r="E5" s="32" t="s">
        <v>13</v>
      </c>
    </row>
    <row r="6" spans="1:11" ht="20.100000000000001" customHeight="1" x14ac:dyDescent="0.2">
      <c r="A6" s="23">
        <v>2012</v>
      </c>
      <c r="B6" s="26">
        <v>9.5000000000000001E-2</v>
      </c>
      <c r="C6" s="26">
        <v>0.115</v>
      </c>
      <c r="D6" s="27">
        <v>29.12</v>
      </c>
      <c r="E6" s="26">
        <f>(D6-D5)/D5</f>
        <v>4.0000000000000036E-2</v>
      </c>
    </row>
    <row r="7" spans="1:11" ht="20.100000000000001" customHeight="1" x14ac:dyDescent="0.2">
      <c r="A7" s="23">
        <v>2013</v>
      </c>
      <c r="B7" s="26">
        <v>0.09</v>
      </c>
      <c r="C7" s="26">
        <v>0.11899999999999999</v>
      </c>
      <c r="D7" s="27">
        <v>30.43</v>
      </c>
      <c r="E7" s="26">
        <f t="shared" ref="E7:E16" si="0">(D7-D6)/D6</f>
        <v>4.4986263736263687E-2</v>
      </c>
    </row>
    <row r="8" spans="1:11" ht="20.100000000000001" customHeight="1" x14ac:dyDescent="0.2">
      <c r="A8" s="23">
        <v>2014</v>
      </c>
      <c r="B8" s="26">
        <v>0.08</v>
      </c>
      <c r="C8" s="26" t="s">
        <v>39</v>
      </c>
      <c r="D8" s="28">
        <v>31.8</v>
      </c>
      <c r="E8" s="26">
        <f t="shared" si="0"/>
        <v>4.5021360499507099E-2</v>
      </c>
    </row>
    <row r="9" spans="1:11" ht="20.100000000000001" customHeight="1" x14ac:dyDescent="0.2">
      <c r="A9" s="23">
        <v>2015</v>
      </c>
      <c r="B9" s="26">
        <v>0.05</v>
      </c>
      <c r="C9" s="26">
        <v>0.1157</v>
      </c>
      <c r="D9" s="27">
        <v>32.6</v>
      </c>
      <c r="E9" s="26">
        <f t="shared" si="0"/>
        <v>2.5157232704402538E-2</v>
      </c>
    </row>
    <row r="10" spans="1:11" ht="20.100000000000001" customHeight="1" x14ac:dyDescent="0.2">
      <c r="A10" s="23">
        <v>2016</v>
      </c>
      <c r="B10" s="26">
        <v>0.03</v>
      </c>
      <c r="C10" s="26">
        <v>0.1225</v>
      </c>
      <c r="D10" s="27">
        <v>33.58</v>
      </c>
      <c r="E10" s="26">
        <f t="shared" si="0"/>
        <v>3.0061349693251437E-2</v>
      </c>
    </row>
    <row r="11" spans="1:11" ht="20.100000000000001" customHeight="1" x14ac:dyDescent="0.2">
      <c r="A11" s="23">
        <v>2017</v>
      </c>
      <c r="B11" s="26">
        <v>0.05</v>
      </c>
      <c r="C11" s="26">
        <v>8.4199999999999997E-2</v>
      </c>
      <c r="D11" s="28">
        <v>34.590000000000003</v>
      </c>
      <c r="E11" s="26">
        <f t="shared" si="0"/>
        <v>3.0077427039904858E-2</v>
      </c>
      <c r="F11" s="376" t="s">
        <v>85</v>
      </c>
      <c r="G11" s="377"/>
      <c r="H11" s="376" t="s">
        <v>86</v>
      </c>
      <c r="I11" s="377"/>
      <c r="J11" s="376" t="s">
        <v>87</v>
      </c>
      <c r="K11" s="377"/>
    </row>
    <row r="12" spans="1:11" ht="20.100000000000001" customHeight="1" x14ac:dyDescent="0.2">
      <c r="A12" s="23">
        <v>2018</v>
      </c>
      <c r="B12" s="26">
        <v>0.04</v>
      </c>
      <c r="C12" s="26">
        <v>7.0499999999999993E-2</v>
      </c>
      <c r="D12" s="59">
        <v>35.630000000000003</v>
      </c>
      <c r="E12" s="26">
        <f t="shared" si="0"/>
        <v>3.0066493206128912E-2</v>
      </c>
      <c r="F12" s="4">
        <v>36.869999999999997</v>
      </c>
      <c r="G12" s="219"/>
      <c r="H12" s="4">
        <v>36.869999999999997</v>
      </c>
      <c r="I12" s="219"/>
      <c r="J12" s="4">
        <v>36.869999999999997</v>
      </c>
      <c r="K12" s="219"/>
    </row>
    <row r="13" spans="1:11" ht="20.100000000000001" customHeight="1" x14ac:dyDescent="0.2">
      <c r="A13" s="23">
        <v>2019</v>
      </c>
      <c r="B13" s="26">
        <v>0.05</v>
      </c>
      <c r="C13" s="26" t="s">
        <v>46</v>
      </c>
      <c r="D13" s="59">
        <v>36.869999999999997</v>
      </c>
      <c r="E13" s="26">
        <f t="shared" si="0"/>
        <v>3.480213303396E-2</v>
      </c>
      <c r="F13" s="4">
        <v>38.17</v>
      </c>
      <c r="G13" s="26">
        <f>(F13-F12)/F12</f>
        <v>3.525901817195564E-2</v>
      </c>
      <c r="H13" s="4">
        <v>38.17</v>
      </c>
      <c r="I13" s="26">
        <f>(H13-H12)/H12</f>
        <v>3.525901817195564E-2</v>
      </c>
      <c r="J13" s="4">
        <v>38.17</v>
      </c>
      <c r="K13" s="26">
        <f>(J13-J12)/J12</f>
        <v>3.525901817195564E-2</v>
      </c>
    </row>
    <row r="14" spans="1:11" ht="20.100000000000001" customHeight="1" x14ac:dyDescent="0.2">
      <c r="A14" s="23">
        <v>2020</v>
      </c>
      <c r="B14" s="26">
        <v>0.05</v>
      </c>
      <c r="C14" s="26" t="s">
        <v>46</v>
      </c>
      <c r="D14" s="3">
        <v>38.17</v>
      </c>
      <c r="E14" s="26">
        <f t="shared" si="0"/>
        <v>3.525901817195564E-2</v>
      </c>
      <c r="F14" s="4">
        <v>38.93</v>
      </c>
      <c r="G14" s="26">
        <f>(F14-F13)/F13</f>
        <v>1.9910924810060203E-2</v>
      </c>
      <c r="H14" s="4">
        <v>38.549999999999997</v>
      </c>
      <c r="I14" s="26">
        <f>(H14-H13)/H13</f>
        <v>9.9554624050300095E-3</v>
      </c>
      <c r="J14" s="4">
        <v>38.17</v>
      </c>
      <c r="K14" s="26">
        <f>(J14-J13)/J13</f>
        <v>0</v>
      </c>
    </row>
    <row r="15" spans="1:11" ht="20.100000000000001" customHeight="1" x14ac:dyDescent="0.2">
      <c r="A15" s="61">
        <v>2021</v>
      </c>
      <c r="B15" s="186">
        <v>0.05</v>
      </c>
      <c r="C15" s="186" t="s">
        <v>46</v>
      </c>
      <c r="D15" s="187">
        <v>39.32</v>
      </c>
      <c r="E15" s="186">
        <f t="shared" si="0"/>
        <v>3.0128373067854299E-2</v>
      </c>
      <c r="F15" s="4">
        <v>39.9</v>
      </c>
      <c r="G15" s="26">
        <f>(F15-F14)/F14</f>
        <v>2.4916516825070612E-2</v>
      </c>
      <c r="H15" s="4">
        <v>39.32</v>
      </c>
      <c r="I15" s="26">
        <f>(H15-H14)/H14</f>
        <v>1.9974059662775698E-2</v>
      </c>
      <c r="J15" s="4">
        <v>38.74</v>
      </c>
      <c r="K15" s="26">
        <f>(J15-J14)/J14</f>
        <v>1.4933193607545199E-2</v>
      </c>
    </row>
    <row r="16" spans="1:11" ht="20.100000000000001" customHeight="1" x14ac:dyDescent="0.2">
      <c r="A16" s="23">
        <v>2022</v>
      </c>
      <c r="B16" s="51">
        <v>0.05</v>
      </c>
      <c r="C16" s="26" t="s">
        <v>46</v>
      </c>
      <c r="D16" s="3">
        <v>40.5</v>
      </c>
      <c r="E16" s="26">
        <f t="shared" si="0"/>
        <v>3.0010172939979648E-2</v>
      </c>
    </row>
    <row r="17" spans="1:11" ht="20.100000000000001" customHeight="1" x14ac:dyDescent="0.2">
      <c r="A17" s="23">
        <v>2023</v>
      </c>
      <c r="B17" s="51">
        <v>0.06</v>
      </c>
      <c r="C17" s="93"/>
      <c r="D17" s="3" t="s">
        <v>46</v>
      </c>
      <c r="E17" s="3" t="s">
        <v>46</v>
      </c>
      <c r="F17" s="94"/>
      <c r="G17" s="95"/>
      <c r="H17" s="94"/>
      <c r="I17" s="95"/>
      <c r="J17" s="94"/>
      <c r="K17" s="95"/>
    </row>
    <row r="18" spans="1:11" ht="20.100000000000001" customHeight="1" x14ac:dyDescent="0.2">
      <c r="A18" s="23">
        <v>2024</v>
      </c>
      <c r="B18" s="51">
        <v>0.06</v>
      </c>
      <c r="C18" s="93"/>
      <c r="D18" s="3" t="s">
        <v>46</v>
      </c>
      <c r="E18" s="3" t="s">
        <v>46</v>
      </c>
      <c r="F18" s="94"/>
      <c r="G18" s="95"/>
      <c r="H18" s="94"/>
      <c r="I18" s="95"/>
      <c r="J18" s="94"/>
      <c r="K18" s="95"/>
    </row>
    <row r="19" spans="1:11" ht="20.100000000000001" customHeight="1" x14ac:dyDescent="0.2">
      <c r="A19" s="23">
        <v>2025</v>
      </c>
      <c r="B19" s="51">
        <v>7.0000000000000007E-2</v>
      </c>
      <c r="C19" s="93"/>
      <c r="D19" s="3" t="s">
        <v>46</v>
      </c>
      <c r="E19" s="3" t="s">
        <v>46</v>
      </c>
      <c r="F19" s="94"/>
      <c r="G19" s="95"/>
      <c r="H19" s="94"/>
      <c r="I19" s="95"/>
      <c r="J19" s="94"/>
      <c r="K19" s="95"/>
    </row>
    <row r="20" spans="1:11" ht="20.100000000000001" customHeight="1" x14ac:dyDescent="0.2">
      <c r="A20" s="78" t="s">
        <v>38</v>
      </c>
      <c r="B20" s="79">
        <f>AVERAGE(B5:B15)</f>
        <v>6.1818181818181835E-2</v>
      </c>
      <c r="C20" s="29">
        <f>AVERAGE(C5:C12)</f>
        <v>0.10384285714285715</v>
      </c>
      <c r="D20" s="30"/>
      <c r="E20" s="29">
        <f>AVERAGE(E5:E14)</f>
        <v>3.5047919787263807E-2</v>
      </c>
    </row>
    <row r="21" spans="1:11" ht="20.100000000000001" customHeight="1" x14ac:dyDescent="0.2">
      <c r="A21" s="188" t="s">
        <v>64</v>
      </c>
      <c r="B21" s="189">
        <f>AVERAGE(B10:B14)</f>
        <v>4.3999999999999997E-2</v>
      </c>
      <c r="D21" s="33"/>
      <c r="E21" s="189">
        <f>AVERAGE(E10:E14)</f>
        <v>3.205328422904017E-2</v>
      </c>
    </row>
    <row r="22" spans="1:11" ht="20.100000000000001" customHeight="1" x14ac:dyDescent="0.2">
      <c r="A22" s="77"/>
      <c r="B22" s="75"/>
      <c r="C22" s="76"/>
      <c r="D22" s="76"/>
      <c r="E22" s="76"/>
      <c r="F22" s="33"/>
      <c r="G22" s="33"/>
    </row>
    <row r="23" spans="1:11" ht="39.950000000000003" hidden="1" customHeight="1" x14ac:dyDescent="0.2">
      <c r="A23" s="378" t="s">
        <v>50</v>
      </c>
      <c r="B23" s="378"/>
      <c r="C23" s="378"/>
      <c r="D23" s="378"/>
      <c r="E23" s="378"/>
      <c r="F23" s="43"/>
      <c r="G23" s="33"/>
    </row>
    <row r="24" spans="1:11" ht="20.100000000000001" customHeight="1" x14ac:dyDescent="0.2">
      <c r="A24" s="33"/>
      <c r="B24" s="33"/>
      <c r="C24" s="33"/>
      <c r="D24" s="33"/>
      <c r="E24" s="33"/>
      <c r="F24" s="33"/>
      <c r="G24" s="33"/>
    </row>
    <row r="25" spans="1:11" ht="20.100000000000001" customHeight="1" x14ac:dyDescent="0.2">
      <c r="A25" s="33"/>
      <c r="B25" s="33"/>
      <c r="C25" s="33"/>
      <c r="D25" s="33"/>
      <c r="E25" s="33"/>
      <c r="F25" s="33"/>
      <c r="G25" s="33"/>
    </row>
    <row r="26" spans="1:11" ht="20.100000000000001" customHeight="1" x14ac:dyDescent="0.2"/>
  </sheetData>
  <mergeCells count="5">
    <mergeCell ref="F11:G11"/>
    <mergeCell ref="H11:I11"/>
    <mergeCell ref="J11:K11"/>
    <mergeCell ref="A23:E23"/>
    <mergeCell ref="A1:E1"/>
  </mergeCells>
  <pageMargins left="0.7" right="0.7" top="0.75" bottom="0.75" header="0.3" footer="0.3"/>
  <pageSetup scale="77" orientation="landscape" horizontalDpi="1200" verticalDpi="1200" r:id="rId1"/>
  <headerFooter>
    <oddFooter>&amp;L&amp;"Times New Roman,Bold Italic"Prepared By: Locey &amp; Cahill, LLC&amp;R&amp;"Times New Roman,Bold Italic"&amp;D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3D045-EEE8-4A1F-A57A-6B555A4C5A17}">
  <dimension ref="A1:E22"/>
  <sheetViews>
    <sheetView topLeftCell="A4" workbookViewId="0">
      <selection activeCell="C15" sqref="C15"/>
    </sheetView>
  </sheetViews>
  <sheetFormatPr defaultColWidth="9.140625" defaultRowHeight="12.75" x14ac:dyDescent="0.2"/>
  <cols>
    <col min="1" max="7" width="16.7109375" style="2" customWidth="1"/>
    <col min="8" max="16384" width="9.140625" style="2"/>
  </cols>
  <sheetData>
    <row r="1" spans="1:5" ht="20.100000000000001" customHeight="1" x14ac:dyDescent="0.2">
      <c r="A1" s="5" t="s">
        <v>0</v>
      </c>
    </row>
    <row r="2" spans="1:5" ht="20.100000000000001" customHeight="1" x14ac:dyDescent="0.2">
      <c r="A2" s="2" t="s">
        <v>88</v>
      </c>
    </row>
    <row r="3" spans="1:5" ht="20.100000000000001" customHeight="1" x14ac:dyDescent="0.2"/>
    <row r="4" spans="1:5" ht="50.1" customHeight="1" x14ac:dyDescent="0.2">
      <c r="A4" s="31" t="s">
        <v>36</v>
      </c>
      <c r="B4" s="25" t="s">
        <v>57</v>
      </c>
      <c r="C4" s="25" t="s">
        <v>58</v>
      </c>
      <c r="D4" s="25" t="s">
        <v>59</v>
      </c>
      <c r="E4" s="25" t="s">
        <v>170</v>
      </c>
    </row>
    <row r="5" spans="1:5" ht="20.100000000000001" customHeight="1" x14ac:dyDescent="0.2">
      <c r="A5" s="23">
        <v>2011</v>
      </c>
      <c r="B5" s="26" t="s">
        <v>60</v>
      </c>
      <c r="C5" s="18">
        <v>0</v>
      </c>
      <c r="D5" s="63">
        <v>4400</v>
      </c>
      <c r="E5" s="3">
        <f>+C5/D5</f>
        <v>0</v>
      </c>
    </row>
    <row r="6" spans="1:5" ht="20.100000000000001" customHeight="1" x14ac:dyDescent="0.2">
      <c r="A6" s="23">
        <v>2012</v>
      </c>
      <c r="B6" s="26" t="s">
        <v>60</v>
      </c>
      <c r="C6" s="18">
        <v>445885.82999999996</v>
      </c>
      <c r="D6" s="63">
        <v>4448</v>
      </c>
      <c r="E6" s="3">
        <f t="shared" ref="E6:E16" si="0">+C6/D6</f>
        <v>100.24411645683452</v>
      </c>
    </row>
    <row r="7" spans="1:5" ht="20.100000000000001" customHeight="1" x14ac:dyDescent="0.2">
      <c r="A7" s="23">
        <v>2013</v>
      </c>
      <c r="B7" s="26" t="s">
        <v>61</v>
      </c>
      <c r="C7" s="18">
        <v>254848.24000000002</v>
      </c>
      <c r="D7" s="63">
        <v>5077</v>
      </c>
      <c r="E7" s="3">
        <f t="shared" si="0"/>
        <v>50.196620051211347</v>
      </c>
    </row>
    <row r="8" spans="1:5" ht="20.100000000000001" customHeight="1" x14ac:dyDescent="0.2">
      <c r="A8" s="23">
        <v>2014</v>
      </c>
      <c r="B8" s="26" t="s">
        <v>61</v>
      </c>
      <c r="C8" s="18">
        <v>274763.58</v>
      </c>
      <c r="D8" s="63">
        <v>5012</v>
      </c>
      <c r="E8" s="3">
        <f t="shared" si="0"/>
        <v>54.821145251396651</v>
      </c>
    </row>
    <row r="9" spans="1:5" ht="20.100000000000001" customHeight="1" x14ac:dyDescent="0.2">
      <c r="A9" s="23">
        <v>2015</v>
      </c>
      <c r="B9" s="26" t="s">
        <v>61</v>
      </c>
      <c r="C9" s="18">
        <v>686015.03</v>
      </c>
      <c r="D9" s="63">
        <v>5021</v>
      </c>
      <c r="E9" s="3">
        <f t="shared" si="0"/>
        <v>136.62916351324438</v>
      </c>
    </row>
    <row r="10" spans="1:5" ht="20.100000000000001" customHeight="1" x14ac:dyDescent="0.2">
      <c r="A10" s="23">
        <v>2016</v>
      </c>
      <c r="B10" s="26" t="s">
        <v>61</v>
      </c>
      <c r="C10" s="18">
        <v>709434.35</v>
      </c>
      <c r="D10" s="63">
        <v>5063</v>
      </c>
      <c r="E10" s="3">
        <f t="shared" si="0"/>
        <v>140.12134110211338</v>
      </c>
    </row>
    <row r="11" spans="1:5" ht="20.100000000000001" customHeight="1" x14ac:dyDescent="0.2">
      <c r="A11" s="23">
        <v>2017</v>
      </c>
      <c r="B11" s="26" t="s">
        <v>61</v>
      </c>
      <c r="C11" s="18">
        <v>1627727.17</v>
      </c>
      <c r="D11" s="63">
        <v>5172</v>
      </c>
      <c r="E11" s="3">
        <f t="shared" si="0"/>
        <v>314.71909706109818</v>
      </c>
    </row>
    <row r="12" spans="1:5" ht="20.100000000000001" customHeight="1" x14ac:dyDescent="0.2">
      <c r="A12" s="23">
        <v>2018</v>
      </c>
      <c r="B12" s="26" t="s">
        <v>61</v>
      </c>
      <c r="C12" s="18">
        <v>1308285.17</v>
      </c>
      <c r="D12" s="63">
        <v>5201</v>
      </c>
      <c r="E12" s="3">
        <f t="shared" si="0"/>
        <v>251.54492789848103</v>
      </c>
    </row>
    <row r="13" spans="1:5" ht="20.100000000000001" customHeight="1" x14ac:dyDescent="0.2">
      <c r="A13" s="23">
        <v>2019</v>
      </c>
      <c r="B13" s="26" t="s">
        <v>61</v>
      </c>
      <c r="C13" s="18">
        <v>1597414.28</v>
      </c>
      <c r="D13" s="63">
        <v>6159</v>
      </c>
      <c r="E13" s="3">
        <f t="shared" si="0"/>
        <v>259.36260431888292</v>
      </c>
    </row>
    <row r="14" spans="1:5" ht="20.100000000000001" customHeight="1" x14ac:dyDescent="0.2">
      <c r="A14" s="41">
        <v>2020</v>
      </c>
      <c r="B14" s="26" t="s">
        <v>61</v>
      </c>
      <c r="C14" s="18">
        <v>1975716.32</v>
      </c>
      <c r="D14" s="211">
        <v>6275</v>
      </c>
      <c r="E14" s="3">
        <f t="shared" si="0"/>
        <v>314.85519043824701</v>
      </c>
    </row>
    <row r="15" spans="1:5" ht="20.100000000000001" customHeight="1" x14ac:dyDescent="0.2">
      <c r="A15" s="41">
        <v>2021</v>
      </c>
      <c r="B15" s="26" t="s">
        <v>61</v>
      </c>
      <c r="C15" s="18"/>
      <c r="D15" s="53"/>
      <c r="E15" s="3" t="e">
        <f t="shared" si="0"/>
        <v>#DIV/0!</v>
      </c>
    </row>
    <row r="16" spans="1:5" ht="20.100000000000001" customHeight="1" x14ac:dyDescent="0.2">
      <c r="A16" s="41">
        <v>2022</v>
      </c>
      <c r="B16" s="51"/>
      <c r="C16" s="18"/>
      <c r="D16" s="53"/>
      <c r="E16" s="3" t="e">
        <f t="shared" si="0"/>
        <v>#DIV/0!</v>
      </c>
    </row>
    <row r="17" spans="1:5" ht="20.100000000000001" customHeight="1" x14ac:dyDescent="0.2">
      <c r="A17" s="380" t="s">
        <v>62</v>
      </c>
      <c r="B17" s="381"/>
      <c r="C17" s="52">
        <f>SUM(C5:C16)</f>
        <v>8880089.9699999988</v>
      </c>
      <c r="D17" s="54">
        <f>SUM(D5:D16)</f>
        <v>51828</v>
      </c>
      <c r="E17" s="50">
        <f>+C17/D17</f>
        <v>171.33769333178975</v>
      </c>
    </row>
    <row r="18" spans="1:5" ht="20.100000000000001" customHeight="1" x14ac:dyDescent="0.2">
      <c r="D18" s="33"/>
    </row>
    <row r="19" spans="1:5" ht="20.100000000000001" customHeight="1" x14ac:dyDescent="0.2"/>
    <row r="20" spans="1:5" ht="20.100000000000001" customHeight="1" x14ac:dyDescent="0.2"/>
    <row r="21" spans="1:5" ht="20.100000000000001" customHeight="1" x14ac:dyDescent="0.2"/>
    <row r="22" spans="1:5" ht="20.100000000000001" customHeight="1" x14ac:dyDescent="0.2"/>
  </sheetData>
  <mergeCells count="1">
    <mergeCell ref="A17:B1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62EA6-40C5-455F-BCDE-C3CA281491DA}">
  <dimension ref="A1:I47"/>
  <sheetViews>
    <sheetView showGridLines="0" topLeftCell="A4" workbookViewId="0">
      <selection activeCell="I14" sqref="I14"/>
    </sheetView>
  </sheetViews>
  <sheetFormatPr defaultRowHeight="12.75" x14ac:dyDescent="0.2"/>
  <cols>
    <col min="1" max="1" width="24.7109375" style="2" customWidth="1"/>
    <col min="2" max="9" width="14.7109375" style="2" customWidth="1"/>
    <col min="10" max="10" width="12.7109375" style="2" customWidth="1"/>
    <col min="11" max="16384" width="9.140625" style="2"/>
  </cols>
  <sheetData>
    <row r="1" spans="1:9" ht="20.100000000000001" customHeight="1" x14ac:dyDescent="0.2">
      <c r="A1" s="5" t="s">
        <v>0</v>
      </c>
      <c r="B1" s="5"/>
    </row>
    <row r="2" spans="1:9" ht="20.100000000000001" customHeight="1" x14ac:dyDescent="0.2">
      <c r="A2" s="81" t="s">
        <v>89</v>
      </c>
      <c r="B2" s="81"/>
    </row>
    <row r="3" spans="1:9" ht="20.100000000000001" customHeight="1" x14ac:dyDescent="0.2"/>
    <row r="4" spans="1:9" ht="39.950000000000003" customHeight="1" x14ac:dyDescent="0.2">
      <c r="A4" s="90" t="s">
        <v>100</v>
      </c>
      <c r="B4" s="82" t="s">
        <v>90</v>
      </c>
      <c r="C4" s="82" t="s">
        <v>97</v>
      </c>
      <c r="D4" s="82" t="s">
        <v>98</v>
      </c>
      <c r="E4" s="82" t="s">
        <v>99</v>
      </c>
      <c r="F4" s="82" t="s">
        <v>96</v>
      </c>
      <c r="G4" s="82" t="s">
        <v>92</v>
      </c>
      <c r="H4" s="82" t="s">
        <v>91</v>
      </c>
      <c r="I4" s="82" t="s">
        <v>93</v>
      </c>
    </row>
    <row r="5" spans="1:9" ht="20.100000000000001" customHeight="1" x14ac:dyDescent="0.2">
      <c r="A5" s="89" t="s">
        <v>101</v>
      </c>
      <c r="B5" s="84">
        <v>41274</v>
      </c>
      <c r="C5" s="32">
        <v>2012</v>
      </c>
      <c r="D5" s="84">
        <v>41486</v>
      </c>
      <c r="E5" s="87">
        <v>2013</v>
      </c>
      <c r="F5" s="3">
        <v>1</v>
      </c>
      <c r="G5" s="3" t="s">
        <v>94</v>
      </c>
      <c r="H5" s="53">
        <v>4448</v>
      </c>
      <c r="I5" s="3">
        <f t="shared" ref="I5:I21" si="0">+F5*H5</f>
        <v>4448</v>
      </c>
    </row>
    <row r="6" spans="1:9" ht="20.100000000000001" customHeight="1" x14ac:dyDescent="0.2">
      <c r="A6" s="89" t="s">
        <v>102</v>
      </c>
      <c r="B6" s="84">
        <v>41639</v>
      </c>
      <c r="C6" s="32">
        <f>+C5+1</f>
        <v>2013</v>
      </c>
      <c r="D6" s="84">
        <v>41851</v>
      </c>
      <c r="E6" s="32">
        <v>2014</v>
      </c>
      <c r="F6" s="3">
        <v>2</v>
      </c>
      <c r="G6" s="85">
        <f>((F6-F5)/F5)</f>
        <v>1</v>
      </c>
      <c r="H6" s="53">
        <v>5126.2299999999996</v>
      </c>
      <c r="I6" s="3">
        <f t="shared" si="0"/>
        <v>10252.459999999999</v>
      </c>
    </row>
    <row r="7" spans="1:9" ht="20.100000000000001" customHeight="1" x14ac:dyDescent="0.2">
      <c r="A7" s="89" t="s">
        <v>103</v>
      </c>
      <c r="B7" s="84">
        <v>42004</v>
      </c>
      <c r="C7" s="32">
        <f t="shared" ref="C7:C21" si="1">+C6+1</f>
        <v>2014</v>
      </c>
      <c r="D7" s="84">
        <v>42216</v>
      </c>
      <c r="E7" s="32">
        <v>2015</v>
      </c>
      <c r="F7" s="3">
        <v>2.08</v>
      </c>
      <c r="G7" s="85">
        <f t="shared" ref="G7:G21" si="2">((F7-F6)/F6)</f>
        <v>4.0000000000000036E-2</v>
      </c>
      <c r="H7" s="53">
        <v>5015</v>
      </c>
      <c r="I7" s="3">
        <f t="shared" si="0"/>
        <v>10431.200000000001</v>
      </c>
    </row>
    <row r="8" spans="1:9" ht="20.100000000000001" customHeight="1" x14ac:dyDescent="0.2">
      <c r="A8" s="89" t="s">
        <v>104</v>
      </c>
      <c r="B8" s="84">
        <v>42369</v>
      </c>
      <c r="C8" s="32">
        <f t="shared" si="1"/>
        <v>2015</v>
      </c>
      <c r="D8" s="84">
        <v>42582</v>
      </c>
      <c r="E8" s="32">
        <v>2016</v>
      </c>
      <c r="F8" s="3">
        <v>2.17</v>
      </c>
      <c r="G8" s="85">
        <f t="shared" si="2"/>
        <v>4.3269230769230699E-2</v>
      </c>
      <c r="H8" s="53">
        <v>5024</v>
      </c>
      <c r="I8" s="3">
        <f t="shared" si="0"/>
        <v>10902.08</v>
      </c>
    </row>
    <row r="9" spans="1:9" ht="20.100000000000001" customHeight="1" x14ac:dyDescent="0.2">
      <c r="A9" s="89" t="s">
        <v>105</v>
      </c>
      <c r="B9" s="84">
        <v>42735</v>
      </c>
      <c r="C9" s="32">
        <f t="shared" si="1"/>
        <v>2016</v>
      </c>
      <c r="D9" s="84">
        <v>42947</v>
      </c>
      <c r="E9" s="32">
        <v>2017</v>
      </c>
      <c r="F9" s="3">
        <v>2.2599999999999998</v>
      </c>
      <c r="G9" s="85">
        <f t="shared" si="2"/>
        <v>4.1474654377880123E-2</v>
      </c>
      <c r="H9" s="53">
        <v>5063</v>
      </c>
      <c r="I9" s="3">
        <f t="shared" si="0"/>
        <v>11442.38</v>
      </c>
    </row>
    <row r="10" spans="1:9" ht="20.100000000000001" customHeight="1" x14ac:dyDescent="0.2">
      <c r="A10" s="89" t="s">
        <v>106</v>
      </c>
      <c r="B10" s="84">
        <v>43100</v>
      </c>
      <c r="C10" s="32">
        <f t="shared" si="1"/>
        <v>2017</v>
      </c>
      <c r="D10" s="84">
        <v>43312</v>
      </c>
      <c r="E10" s="32">
        <v>2018</v>
      </c>
      <c r="F10" s="3">
        <v>2.39</v>
      </c>
      <c r="G10" s="85">
        <f t="shared" si="2"/>
        <v>5.7522123893805462E-2</v>
      </c>
      <c r="H10" s="53">
        <v>5172</v>
      </c>
      <c r="I10" s="3">
        <f t="shared" si="0"/>
        <v>12361.08</v>
      </c>
    </row>
    <row r="11" spans="1:9" ht="20.100000000000001" customHeight="1" x14ac:dyDescent="0.2">
      <c r="A11" s="89" t="s">
        <v>107</v>
      </c>
      <c r="B11" s="84">
        <v>43465</v>
      </c>
      <c r="C11" s="32">
        <f t="shared" si="1"/>
        <v>2018</v>
      </c>
      <c r="D11" s="84">
        <v>43677</v>
      </c>
      <c r="E11" s="32">
        <v>2019</v>
      </c>
      <c r="F11" s="3">
        <v>2.4500000000000002</v>
      </c>
      <c r="G11" s="85">
        <f t="shared" si="2"/>
        <v>2.5104602510460271E-2</v>
      </c>
      <c r="H11" s="53">
        <f>+I11/F11</f>
        <v>5201</v>
      </c>
      <c r="I11" s="3">
        <v>12742.45</v>
      </c>
    </row>
    <row r="12" spans="1:9" ht="20.100000000000001" customHeight="1" x14ac:dyDescent="0.2">
      <c r="A12" s="89" t="s">
        <v>108</v>
      </c>
      <c r="B12" s="84">
        <v>43830</v>
      </c>
      <c r="C12" s="32">
        <f t="shared" si="1"/>
        <v>2019</v>
      </c>
      <c r="D12" s="84">
        <v>44043</v>
      </c>
      <c r="E12" s="32">
        <v>2020</v>
      </c>
      <c r="F12" s="3">
        <v>2.54</v>
      </c>
      <c r="G12" s="85">
        <f t="shared" si="2"/>
        <v>3.6734693877550961E-2</v>
      </c>
      <c r="H12" s="53">
        <f>+I12/F12</f>
        <v>6174</v>
      </c>
      <c r="I12" s="3">
        <v>15681.96</v>
      </c>
    </row>
    <row r="13" spans="1:9" ht="20.100000000000001" customHeight="1" x14ac:dyDescent="0.2">
      <c r="A13" s="89" t="s">
        <v>109</v>
      </c>
      <c r="B13" s="84">
        <v>44196</v>
      </c>
      <c r="C13" s="32">
        <f t="shared" si="1"/>
        <v>2020</v>
      </c>
      <c r="D13" s="84">
        <v>44408</v>
      </c>
      <c r="E13" s="32">
        <v>2021</v>
      </c>
      <c r="F13" s="3">
        <v>2.66</v>
      </c>
      <c r="G13" s="85">
        <f t="shared" si="2"/>
        <v>4.7244094488189017E-2</v>
      </c>
      <c r="H13" s="53">
        <v>6275</v>
      </c>
      <c r="I13" s="3">
        <f t="shared" si="0"/>
        <v>16691.5</v>
      </c>
    </row>
    <row r="14" spans="1:9" ht="20.100000000000001" customHeight="1" x14ac:dyDescent="0.2">
      <c r="A14" s="89" t="s">
        <v>110</v>
      </c>
      <c r="B14" s="84">
        <v>44561</v>
      </c>
      <c r="C14" s="32">
        <f t="shared" si="1"/>
        <v>2021</v>
      </c>
      <c r="D14" s="84">
        <v>44772</v>
      </c>
      <c r="E14" s="32">
        <v>2022</v>
      </c>
      <c r="F14" s="83">
        <f t="shared" ref="F14:F21" si="3">+F13*1.05</f>
        <v>2.7930000000000001</v>
      </c>
      <c r="G14" s="85">
        <f t="shared" si="2"/>
        <v>0.05</v>
      </c>
      <c r="H14" s="88">
        <v>6318</v>
      </c>
      <c r="I14" s="83">
        <f t="shared" si="0"/>
        <v>17646.174000000003</v>
      </c>
    </row>
    <row r="15" spans="1:9" ht="20.100000000000001" customHeight="1" x14ac:dyDescent="0.2">
      <c r="A15" s="89" t="s">
        <v>111</v>
      </c>
      <c r="B15" s="84">
        <v>44926</v>
      </c>
      <c r="C15" s="32">
        <f t="shared" si="1"/>
        <v>2022</v>
      </c>
      <c r="D15" s="84">
        <v>45137</v>
      </c>
      <c r="E15" s="32">
        <v>2023</v>
      </c>
      <c r="F15" s="83">
        <f t="shared" si="3"/>
        <v>2.9326500000000002</v>
      </c>
      <c r="G15" s="85">
        <f t="shared" si="2"/>
        <v>5.0000000000000017E-2</v>
      </c>
      <c r="H15" s="88">
        <v>6318</v>
      </c>
      <c r="I15" s="83">
        <f t="shared" si="0"/>
        <v>18528.4827</v>
      </c>
    </row>
    <row r="16" spans="1:9" ht="20.100000000000001" customHeight="1" x14ac:dyDescent="0.2">
      <c r="A16" s="89" t="s">
        <v>112</v>
      </c>
      <c r="B16" s="84">
        <v>45291</v>
      </c>
      <c r="C16" s="32">
        <f t="shared" si="1"/>
        <v>2023</v>
      </c>
      <c r="D16" s="84">
        <v>45503</v>
      </c>
      <c r="E16" s="32">
        <v>2024</v>
      </c>
      <c r="F16" s="83">
        <f t="shared" si="3"/>
        <v>3.0792825000000001</v>
      </c>
      <c r="G16" s="85">
        <f t="shared" si="2"/>
        <v>4.9999999999999975E-2</v>
      </c>
      <c r="H16" s="88">
        <v>6318</v>
      </c>
      <c r="I16" s="83">
        <f t="shared" si="0"/>
        <v>19454.906835000002</v>
      </c>
    </row>
    <row r="17" spans="1:9" ht="20.100000000000001" customHeight="1" x14ac:dyDescent="0.2">
      <c r="A17" s="89" t="s">
        <v>113</v>
      </c>
      <c r="B17" s="84">
        <v>45657</v>
      </c>
      <c r="C17" s="32">
        <f t="shared" si="1"/>
        <v>2024</v>
      </c>
      <c r="D17" s="84">
        <v>45868</v>
      </c>
      <c r="E17" s="32">
        <v>2025</v>
      </c>
      <c r="F17" s="83">
        <f t="shared" si="3"/>
        <v>3.2332466250000005</v>
      </c>
      <c r="G17" s="85">
        <f t="shared" si="2"/>
        <v>5.0000000000000107E-2</v>
      </c>
      <c r="H17" s="88">
        <v>6318</v>
      </c>
      <c r="I17" s="83">
        <f t="shared" si="0"/>
        <v>20427.652176750002</v>
      </c>
    </row>
    <row r="18" spans="1:9" ht="20.100000000000001" customHeight="1" x14ac:dyDescent="0.2">
      <c r="A18" s="89" t="s">
        <v>114</v>
      </c>
      <c r="B18" s="84">
        <v>46022</v>
      </c>
      <c r="C18" s="32">
        <f t="shared" si="1"/>
        <v>2025</v>
      </c>
      <c r="D18" s="84">
        <v>46233</v>
      </c>
      <c r="E18" s="32">
        <v>2026</v>
      </c>
      <c r="F18" s="83">
        <f t="shared" si="3"/>
        <v>3.3949089562500006</v>
      </c>
      <c r="G18" s="85">
        <f t="shared" si="2"/>
        <v>5.0000000000000017E-2</v>
      </c>
      <c r="H18" s="88">
        <v>6318</v>
      </c>
      <c r="I18" s="83">
        <f t="shared" si="0"/>
        <v>21449.034785587504</v>
      </c>
    </row>
    <row r="19" spans="1:9" ht="20.100000000000001" customHeight="1" x14ac:dyDescent="0.2">
      <c r="A19" s="89" t="s">
        <v>115</v>
      </c>
      <c r="B19" s="84">
        <v>46387</v>
      </c>
      <c r="C19" s="32">
        <f t="shared" si="1"/>
        <v>2026</v>
      </c>
      <c r="D19" s="84">
        <v>46598</v>
      </c>
      <c r="E19" s="32">
        <v>2027</v>
      </c>
      <c r="F19" s="83">
        <f t="shared" si="3"/>
        <v>3.5646544040625008</v>
      </c>
      <c r="G19" s="85">
        <f t="shared" si="2"/>
        <v>5.0000000000000058E-2</v>
      </c>
      <c r="H19" s="88">
        <v>6318</v>
      </c>
      <c r="I19" s="83">
        <f t="shared" si="0"/>
        <v>22521.486524866879</v>
      </c>
    </row>
    <row r="20" spans="1:9" ht="20.100000000000001" customHeight="1" x14ac:dyDescent="0.2">
      <c r="A20" s="89" t="s">
        <v>116</v>
      </c>
      <c r="B20" s="84">
        <v>46752</v>
      </c>
      <c r="C20" s="32">
        <f t="shared" si="1"/>
        <v>2027</v>
      </c>
      <c r="D20" s="84">
        <v>46964</v>
      </c>
      <c r="E20" s="32">
        <v>2028</v>
      </c>
      <c r="F20" s="83">
        <f t="shared" si="3"/>
        <v>3.7428871242656259</v>
      </c>
      <c r="G20" s="85">
        <f t="shared" si="2"/>
        <v>5.000000000000001E-2</v>
      </c>
      <c r="H20" s="88">
        <v>6318</v>
      </c>
      <c r="I20" s="83">
        <f t="shared" si="0"/>
        <v>23647.560851110225</v>
      </c>
    </row>
    <row r="21" spans="1:9" ht="20.100000000000001" customHeight="1" x14ac:dyDescent="0.2">
      <c r="A21" s="89" t="s">
        <v>117</v>
      </c>
      <c r="B21" s="84">
        <v>47118</v>
      </c>
      <c r="C21" s="32">
        <f t="shared" si="1"/>
        <v>2028</v>
      </c>
      <c r="D21" s="84">
        <v>47329</v>
      </c>
      <c r="E21" s="32">
        <v>2029</v>
      </c>
      <c r="F21" s="83">
        <f t="shared" si="3"/>
        <v>3.9300314804789074</v>
      </c>
      <c r="G21" s="85">
        <f t="shared" si="2"/>
        <v>5.0000000000000058E-2</v>
      </c>
      <c r="H21" s="88">
        <v>6318</v>
      </c>
      <c r="I21" s="83">
        <f t="shared" si="0"/>
        <v>24829.938893665738</v>
      </c>
    </row>
    <row r="22" spans="1:9" ht="20.100000000000001" customHeight="1" x14ac:dyDescent="0.2">
      <c r="A22" s="86" t="s">
        <v>238</v>
      </c>
    </row>
    <row r="23" spans="1:9" ht="20.100000000000001" customHeight="1" x14ac:dyDescent="0.2">
      <c r="A23" s="86" t="s">
        <v>95</v>
      </c>
    </row>
    <row r="24" spans="1:9" ht="20.100000000000001" customHeight="1" x14ac:dyDescent="0.2"/>
    <row r="25" spans="1:9" ht="20.100000000000001" customHeight="1" x14ac:dyDescent="0.2"/>
    <row r="26" spans="1:9" ht="20.100000000000001" customHeight="1" x14ac:dyDescent="0.2"/>
    <row r="27" spans="1:9" ht="20.100000000000001" customHeight="1" x14ac:dyDescent="0.2"/>
    <row r="28" spans="1:9" ht="20.100000000000001" customHeight="1" x14ac:dyDescent="0.2"/>
    <row r="29" spans="1:9" ht="20.100000000000001" customHeight="1" x14ac:dyDescent="0.2"/>
    <row r="30" spans="1:9" ht="20.100000000000001" customHeight="1" x14ac:dyDescent="0.2"/>
    <row r="31" spans="1:9" ht="20.100000000000001" customHeight="1" x14ac:dyDescent="0.2"/>
    <row r="32" spans="1:9" ht="20.100000000000001" customHeight="1" x14ac:dyDescent="0.2"/>
    <row r="33" ht="20.100000000000001" customHeight="1" x14ac:dyDescent="0.2"/>
    <row r="34" ht="20.100000000000001" customHeight="1" x14ac:dyDescent="0.2"/>
    <row r="35" ht="20.100000000000001" customHeight="1" x14ac:dyDescent="0.2"/>
    <row r="36" ht="20.100000000000001" customHeight="1" x14ac:dyDescent="0.2"/>
    <row r="37" ht="20.100000000000001" customHeight="1" x14ac:dyDescent="0.2"/>
    <row r="38" ht="20.100000000000001" customHeight="1" x14ac:dyDescent="0.2"/>
    <row r="39" ht="20.100000000000001" customHeight="1" x14ac:dyDescent="0.2"/>
    <row r="40" ht="20.100000000000001" customHeight="1" x14ac:dyDescent="0.2"/>
    <row r="41" ht="20.100000000000001" customHeight="1" x14ac:dyDescent="0.2"/>
    <row r="42" ht="20.100000000000001" customHeight="1" x14ac:dyDescent="0.2"/>
    <row r="43" ht="20.100000000000001" customHeight="1" x14ac:dyDescent="0.2"/>
    <row r="44" ht="20.100000000000001" customHeight="1" x14ac:dyDescent="0.2"/>
    <row r="45" ht="20.100000000000001" customHeight="1" x14ac:dyDescent="0.2"/>
    <row r="46" ht="20.100000000000001" customHeight="1" x14ac:dyDescent="0.2"/>
    <row r="47" ht="20.100000000000001" customHeight="1" x14ac:dyDescent="0.2"/>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ECDA57DB4156D40BB5FF84C8F571C57" ma:contentTypeVersion="12" ma:contentTypeDescription="Create a new document." ma:contentTypeScope="" ma:versionID="8689aeb898468a1dc44bbda013e746ce">
  <xsd:schema xmlns:xsd="http://www.w3.org/2001/XMLSchema" xmlns:xs="http://www.w3.org/2001/XMLSchema" xmlns:p="http://schemas.microsoft.com/office/2006/metadata/properties" xmlns:ns2="449d7c71-f3bf-4218-981d-f6cb166f4c32" xmlns:ns3="2ff4af02-70e3-4d4c-829f-ff208d0615cd" targetNamespace="http://schemas.microsoft.com/office/2006/metadata/properties" ma:root="true" ma:fieldsID="ff4acbb3bf7cf01e9f5ef83d7ff45f21" ns2:_="" ns3:_="">
    <xsd:import namespace="449d7c71-f3bf-4218-981d-f6cb166f4c32"/>
    <xsd:import namespace="2ff4af02-70e3-4d4c-829f-ff208d0615c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9d7c71-f3bf-4218-981d-f6cb166f4c3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ff4af02-70e3-4d4c-829f-ff208d0615cd"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D94F10-3E6B-4A99-BCA5-0C61C36CE063}">
  <ds:schemaRefs>
    <ds:schemaRef ds:uri="http://schemas.microsoft.com/sharepoint/v3/contenttype/forms"/>
  </ds:schemaRefs>
</ds:datastoreItem>
</file>

<file path=customXml/itemProps2.xml><?xml version="1.0" encoding="utf-8"?>
<ds:datastoreItem xmlns:ds="http://schemas.openxmlformats.org/officeDocument/2006/customXml" ds:itemID="{669E2329-4324-4E7A-AD05-2C37EC15E69B}">
  <ds:schemaRefs>
    <ds:schemaRef ds:uri="http://schemas.microsoft.com/office/2006/documentManagement/types"/>
    <ds:schemaRef ds:uri="http://purl.org/dc/terms/"/>
    <ds:schemaRef ds:uri="http://schemas.microsoft.com/office/infopath/2007/PartnerControls"/>
    <ds:schemaRef ds:uri="http://purl.org/dc/dcmitype/"/>
    <ds:schemaRef ds:uri="http://schemas.microsoft.com/office/2006/metadata/properties"/>
    <ds:schemaRef ds:uri="http://purl.org/dc/elements/1.1/"/>
    <ds:schemaRef ds:uri="http://www.w3.org/XML/1998/namespace"/>
    <ds:schemaRef ds:uri="http://schemas.openxmlformats.org/package/2006/metadata/core-properties"/>
    <ds:schemaRef ds:uri="2ff4af02-70e3-4d4c-829f-ff208d0615cd"/>
    <ds:schemaRef ds:uri="449d7c71-f3bf-4218-981d-f6cb166f4c32"/>
  </ds:schemaRefs>
</ds:datastoreItem>
</file>

<file path=customXml/itemProps3.xml><?xml version="1.0" encoding="utf-8"?>
<ds:datastoreItem xmlns:ds="http://schemas.openxmlformats.org/officeDocument/2006/customXml" ds:itemID="{F732F2AB-986E-4501-8022-85F8C83728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9d7c71-f3bf-4218-981d-f6cb166f4c32"/>
    <ds:schemaRef ds:uri="2ff4af02-70e3-4d4c-829f-ff208d0615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Budget Philosophy</vt:lpstr>
      <vt:lpstr>Budget Code Key</vt:lpstr>
      <vt:lpstr>2022 Budget</vt:lpstr>
      <vt:lpstr>Condensed Budget View</vt:lpstr>
      <vt:lpstr>Excellus Admin Fees</vt:lpstr>
      <vt:lpstr>Rx Rebate History</vt:lpstr>
      <vt:lpstr>ACA PCORI Fee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slocey</dc:creator>
  <cp:lastModifiedBy>Teri Apalovich</cp:lastModifiedBy>
  <cp:lastPrinted>2021-06-14T15:45:24Z</cp:lastPrinted>
  <dcterms:created xsi:type="dcterms:W3CDTF">2009-04-14T16:44:12Z</dcterms:created>
  <dcterms:modified xsi:type="dcterms:W3CDTF">2021-07-01T15:34:00Z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0x0101005ECDA57DB4156D40BB5FF84C8F571C57</vt:lpwstr>
  </property>
  <property fmtid="{D5CDD505-2E9C-101B-9397-08002B2CF9AE}" pid="3" name="Order">
    <vt:r8>11653200</vt:r8>
  </property>
</Properties>
</file>